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P&amp;L" sheetId="2" state="visible" r:id="rId4"/>
    <sheet name="Cash Flow" sheetId="3" state="visible" r:id="rId5"/>
    <sheet name="Scenario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<sst xmlns="http://schemas.openxmlformats.org/spreadsheetml/2006/main" count="184" uniqueCount="153">
  <si>
    <t xml:space="preserve">VENDRAIS FINANCIAL MODEL</t>
  </si>
  <si>
    <t xml:space="preserve">Technology Company — No Franchise Model</t>
  </si>
  <si>
    <t xml:space="preserve">Internal Use Only | February 2026</t>
  </si>
  <si>
    <t xml:space="preserve">TIME PERIODS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</si>
  <si>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</si>
  <si>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</si>
  <si>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</si>
  <si>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</si>
  <si>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</si>
  <si>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Calendar Year</t>
  </si>
  <si>
    <t xml:space="preserve">2026</t>
  </si>
  <si>
    <t xml:space="preserve">2027</t>
  </si>
  <si>
    <t xml:space="preserve">2028</t>
  </si>
  <si>
    <t xml:space="preserve">2029</t>
  </si>
  <si>
    <t xml:space="preserve">2030</t>
  </si>
  <si>
    <t xml:space="preserve">DEPLOYMENT ASSUMPTIONS</t>
  </si>
  <si>
    <t xml:space="preserve">Notes</t>
  </si>
  <si>
    <t xml:space="preserve">New Locations Deployed</t>
  </si>
  <si>
    <t xml:space="preserve">Pilot yr1, VA launch yr2, regional yr3-5</t>
  </si>
  <si>
    <t xml:space="preserve">Cumulative Locations (EOY)</t>
  </si>
  <si>
    <t xml:space="preserve">Churn Rate (Annual)</t>
  </si>
  <si>
    <t xml:space="preserve">Locations Lost to Churn</t>
  </si>
  <si>
    <t xml:space="preserve">Active Locations (EOY)</t>
  </si>
  <si>
    <t xml:space="preserve">HARDWARE REVENUE ASSUMPTIONS</t>
  </si>
  <si>
    <t xml:space="preserve">Hardware Sale Price (per unit)</t>
  </si>
  <si>
    <t xml:space="preserve">Price increases w/ features + scale</t>
  </si>
  <si>
    <t xml:space="preserve">Hardware COGS (per unit)</t>
  </si>
  <si>
    <t xml:space="preserve">Cost declines w/ volume + mfg optimization</t>
  </si>
  <si>
    <t xml:space="preserve">Hardware Gross Margin</t>
  </si>
  <si>
    <t xml:space="preserve">Installation Revenue (per unit)</t>
  </si>
  <si>
    <t xml:space="preserve">Installation COGS (per unit)</t>
  </si>
  <si>
    <t xml:space="preserve">SaaS REVENUE ASSUMPTIONS</t>
  </si>
  <si>
    <t xml:space="preserve">Monthly SaaS per Location</t>
  </si>
  <si>
    <t xml:space="preserve">Pilot discount yr1, ramp to full price</t>
  </si>
  <si>
    <t xml:space="preserve">Avg Active Locations (annual avg)</t>
  </si>
  <si>
    <t xml:space="preserve">Midpoint: locations ramp through the year</t>
  </si>
  <si>
    <t xml:space="preserve">Annual SaaS per Location</t>
  </si>
  <si>
    <t xml:space="preserve">TRANSACTION FEE ASSUMPTIONS</t>
  </si>
  <si>
    <t xml:space="preserve">Fee per Transaction</t>
  </si>
  <si>
    <t xml:space="preserve">Avg Transactions/Day/Location</t>
  </si>
  <si>
    <t xml:space="preserve">Pilot=low adoption, ramp w/ consumer trust</t>
  </si>
  <si>
    <t xml:space="preserve">Operating Days per Year</t>
  </si>
  <si>
    <t xml:space="preserve">WHITE-LABEL &amp; SETUP FEES</t>
  </si>
  <si>
    <t xml:space="preserve">Setup Fee per Location</t>
  </si>
  <si>
    <t xml:space="preserve">App branding, POS integration, config</t>
  </si>
  <si>
    <t xml:space="preserve">Premium Support Fee ($/mo, % of locations)</t>
  </si>
  <si>
    <t xml:space="preserve">% Locations on Premium Support</t>
  </si>
  <si>
    <t xml:space="preserve">OPERATING COST ASSUMPTIONS</t>
  </si>
  <si>
    <t xml:space="preserve">CEO Salary (Annual)</t>
  </si>
  <si>
    <t xml:space="preserve">Below market yr1-2, ramps post-Series A</t>
  </si>
  <si>
    <t xml:space="preserve">MD Salary (Annual)</t>
  </si>
  <si>
    <t xml:space="preserve">CTO / Tech Lead (Annual)</t>
  </si>
  <si>
    <t xml:space="preserve">Yr1=advisor equity only, Yr2=fractional, Yr3+=FT</t>
  </si>
  <si>
    <t xml:space="preserve">Engineering Team (Annual)</t>
  </si>
  <si>
    <t xml:space="preserve">Contractors yr1-2, FTEs yr3+</t>
  </si>
  <si>
    <t xml:space="preserve">Regulatory / Legal (Annual)</t>
  </si>
  <si>
    <t xml:space="preserve">Field Ops / Install Team (Annual)</t>
  </si>
  <si>
    <t xml:space="preserve">Cloud Infrastructure (Annual)</t>
  </si>
  <si>
    <t xml:space="preserve">AWS/Azure, scales with locations</t>
  </si>
  <si>
    <t xml:space="preserve">Insurance / Compliance (Annual)</t>
  </si>
  <si>
    <t xml:space="preserve">Office / G&amp;A (Annual)</t>
  </si>
  <si>
    <t xml:space="preserve">Sales &amp; Marketing (Annual)</t>
  </si>
  <si>
    <t xml:space="preserve">Customer Success / Support (Annual)</t>
  </si>
  <si>
    <t xml:space="preserve">FUNDING ASSUMPTIONS</t>
  </si>
  <si>
    <t xml:space="preserve">Seed Round (SAFE)</t>
  </si>
  <si>
    <t xml:space="preserve">Bridge / Additional Seed</t>
  </si>
  <si>
    <t xml:space="preserve">Likely needed Q4 2026 / Q1 2027</t>
  </si>
  <si>
    <t xml:space="preserve">Series A</t>
  </si>
  <si>
    <t xml:space="preserve">Target Q2-Q3 2027 with pilot data</t>
  </si>
  <si>
    <t xml:space="preserve">Total Capital Raised</t>
  </si>
  <si>
    <t xml:space="preserve">PROFIT &amp; LOSS STATEMENT</t>
  </si>
  <si>
    <t xml:space="preserve">VendraIS — Technology Model (No Franchise)</t>
  </si>
  <si>
    <t xml:space="preserve">Year 1 (2026)</t>
  </si>
  <si>
    <t xml:space="preserve">Year 2 (2027)</t>
  </si>
  <si>
    <t xml:space="preserve">Year 3 (2028)</t>
  </si>
  <si>
    <t xml:space="preserve">Year 4 (2029)</t>
  </si>
  <si>
    <t xml:space="preserve">Year 5 (2030)</t>
  </si>
  <si>
    <t xml:space="preserve">REVENUE</t>
  </si>
  <si>
    <t xml:space="preserve">Hardware Sales</t>
  </si>
  <si>
    <t xml:space="preserve">Installation Revenue</t>
  </si>
  <si>
    <t xml:space="preserve">SaaS Subscriptions</t>
  </si>
  <si>
    <t xml:space="preserve">Transaction Fees</t>
  </si>
  <si>
    <t xml:space="preserve">Setup Fees</t>
  </si>
  <si>
    <t xml:space="preserve">Premium Support</t>
  </si>
  <si>
    <t xml:space="preserve">TOTAL REVENUE</t>
  </si>
  <si>
    <t xml:space="preserve">COST OF GOODS SOLD</t>
  </si>
  <si>
    <t xml:space="preserve">Hardware COGS</t>
  </si>
  <si>
    <t xml:space="preserve">Installation COGS</t>
  </si>
  <si>
    <t xml:space="preserve">Cloud Infrastructure</t>
  </si>
  <si>
    <t xml:space="preserve">TOTAL COGS</t>
  </si>
  <si>
    <t xml:space="preserve">GROSS PROFIT</t>
  </si>
  <si>
    <t xml:space="preserve">Gross Profit</t>
  </si>
  <si>
    <t xml:space="preserve">Gross Margin %</t>
  </si>
  <si>
    <t xml:space="preserve">OPERATING EXPENSES</t>
  </si>
  <si>
    <t xml:space="preserve">CEO Salary</t>
  </si>
  <si>
    <t xml:space="preserve">MD Salary</t>
  </si>
  <si>
    <t xml:space="preserve">CTO / Tech Lead</t>
  </si>
  <si>
    <t xml:space="preserve">Engineering Team</t>
  </si>
  <si>
    <t xml:space="preserve">Regulatory / Legal</t>
  </si>
  <si>
    <t xml:space="preserve">Field Ops / Install Team</t>
  </si>
  <si>
    <t xml:space="preserve">Insurance / Compliance</t>
  </si>
  <si>
    <t xml:space="preserve">Office / G&amp;A</t>
  </si>
  <si>
    <t xml:space="preserve">Sales &amp; Marketing</t>
  </si>
  <si>
    <t xml:space="preserve">Customer Success / Support</t>
  </si>
  <si>
    <t xml:space="preserve">TOTAL OPEX</t>
  </si>
  <si>
    <t xml:space="preserve">EBITDA</t>
  </si>
  <si>
    <t xml:space="preserve">EBITDA Margin %</t>
  </si>
  <si>
    <t xml:space="preserve">KEY METRICS</t>
  </si>
  <si>
    <t xml:space="preserve">Revenue per Location (Avg)</t>
  </si>
  <si>
    <t xml:space="preserve">ARR (SaaS + Txn, EOY Run Rate)</t>
  </si>
  <si>
    <t xml:space="preserve">YoY Revenue Growth %</t>
  </si>
  <si>
    <t xml:space="preserve">Recurring Rev % of Total</t>
  </si>
  <si>
    <t xml:space="preserve">CASH FLOW STATEMENT</t>
  </si>
  <si>
    <t xml:space="preserve">VendraIS — Technology Model</t>
  </si>
  <si>
    <t xml:space="preserve">Beginning Cash</t>
  </si>
  <si>
    <t xml:space="preserve">CASH IN</t>
  </si>
  <si>
    <t xml:space="preserve">Capital Raised</t>
  </si>
  <si>
    <t xml:space="preserve">Revenue Collected</t>
  </si>
  <si>
    <t xml:space="preserve">Total Cash In</t>
  </si>
  <si>
    <t xml:space="preserve">CASH OUT</t>
  </si>
  <si>
    <t xml:space="preserve">COGS (Hardware + Install + Cloud)</t>
  </si>
  <si>
    <t xml:space="preserve">Operating Expenses</t>
  </si>
  <si>
    <t xml:space="preserve">Total Cash Out</t>
  </si>
  <si>
    <t xml:space="preserve">Ending Cash</t>
  </si>
  <si>
    <t xml:space="preserve">NET POSITION</t>
  </si>
  <si>
    <t xml:space="preserve">Net Cash Flow</t>
  </si>
  <si>
    <t xml:space="preserve">RUNWAY ANALYSIS</t>
  </si>
  <si>
    <t xml:space="preserve">Monthly Burn (Avg)</t>
  </si>
  <si>
    <t xml:space="preserve">Months of Runway (EOY)</t>
  </si>
  <si>
    <t xml:space="preserve">Cash Flow Positive?</t>
  </si>
  <si>
    <t xml:space="preserve">SCENARIO ANALYSIS</t>
  </si>
  <si>
    <t xml:space="preserve">Conservative / Base / Bull Case</t>
  </si>
  <si>
    <t xml:space="preserve">CONSERVATIVE — VA delays 6mo, slow adoption</t>
  </si>
  <si>
    <t xml:space="preserve">New Locations</t>
  </si>
  <si>
    <t xml:space="preserve">Avg Txns/Day/Location</t>
  </si>
  <si>
    <t xml:space="preserve">Monthly SaaS Price</t>
  </si>
  <si>
    <t xml:space="preserve">Cumulative Locations</t>
  </si>
  <si>
    <t xml:space="preserve">Avg Active Locations</t>
  </si>
  <si>
    <t xml:space="preserve">Total Revenue</t>
  </si>
  <si>
    <t xml:space="preserve">ARR (Recurring EOY)</t>
  </si>
  <si>
    <t xml:space="preserve">BASE CASE — Current plan, realistic timing</t>
  </si>
  <si>
    <t xml:space="preserve">BULL CASE — VA on time, Schedule III, strong pull</t>
  </si>
  <si>
    <t xml:space="preserve">YEAR 5 COMPARISON</t>
  </si>
  <si>
    <t xml:space="preserve">Conservative — Year 5 Revenue</t>
  </si>
  <si>
    <t xml:space="preserve">Base — Year 5 Revenue</t>
  </si>
  <si>
    <t xml:space="preserve">Bull — Year 5 Revenue</t>
  </si>
  <si>
    <t xml:space="preserve">Conservative — Year 5 ARR</t>
  </si>
  <si>
    <t xml:space="preserve">Base — Year 5 ARR</t>
  </si>
  <si>
    <t xml:space="preserve">Bull — Year 5 ARR</t>
  </si>
  <si>
    <t xml:space="preserve">VALUATION RANGE (Year 5, 8x ARR)</t>
  </si>
  <si>
    <t xml:space="preserve">Conservative Valuation</t>
  </si>
  <si>
    <t xml:space="preserve">Base Valuation</t>
  </si>
  <si>
    <t xml:space="preserve">Bull Valuation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</si>
</sst>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;\(#,##0\);\-"/>
    <numFmt numFmtId="166" formatCode="0.0%"/>
    <numFmt numFmtId="167" formatCode="\$#,##0;&quot;($&quot;#,##0\);\-"/>
    <numFmt numFmtId="168" formatCode="0.0"/>
    <numFmt numFmtId="169" formatCode="\$#,##0.00"/>
    <numFmt numFmtId="170" formatCode="\$#,##0;&quot;($&quot;#,##0\);\-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0"/>
      <charset val="1"/>
    </font>
    <font>
      <b val="true"/>
      <sz val="11"/>
      <color rgb="FFBFA958"/>
      <name val="Arial"/>
      <family val="0"/>
      <charset val="1"/>
    </font>
    <font>
      <sz val="9"/>
      <color rgb="FF99999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9"/>
      <color rgb="FF666666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8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BFA958"/>
        <bgColor rgb="FF999999"/>
      </patternFill>
    </fill>
    <fill>
      <patternFill patternType="solid">
        <fgColor rgb="FF2C2C2C"/>
        <bgColor rgb="FF333300"/>
      </patternFill>
    </fill>
    <fill>
      <patternFill patternType="solid">
        <fgColor rgb="FFF7F5F0"/>
        <bgColor rgb="FFFFFFFF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/>
      <right/>
      <top style="thin">
        <color rgb="FFCCCCCC"/>
      </top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9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4A8DB7"/>
      <rgbColor rgb="FF9999FF"/>
      <rgbColor rgb="FF993366"/>
      <rgbColor rgb="FFF7F5F0"/>
      <rgbColor rgb="FFCCFFFF"/>
      <rgbColor rgb="FF660066"/>
      <rgbColor rgb="FFC2784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FA958"/>
      <rgbColor rgb="FFFFCC00"/>
      <rgbColor rgb="FFFF9900"/>
      <rgbColor rgb="FFFF6600"/>
      <rgbColor rgb="FF666666"/>
      <rgbColor rgb="FF999999"/>
      <rgbColor rgb="FF003366"/>
      <rgbColor rgb="FF3A8F65"/>
      <rgbColor rgb="FF003300"/>
      <rgbColor rgb="FF333300"/>
      <rgbColor rgb="FF993300"/>
      <rgbColor rgb="FF993366"/>
      <rgbColor rgb="FF333399"/>
      <rgbColor rgb="FF2C2C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FA958"/>
    <pageSetUpPr fitToPage="false"/>
  </sheetPr>
  <dimension ref="B1:H5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8"/>
    <col collapsed="false" customWidth="true" hidden="false" outlineLevel="0" max="7" min="3" style="1" width="16"/>
    <col collapsed="false" customWidth="true" hidden="false" outlineLevel="0" max="8" min="8" style="1" width="30"/>
  </cols>
  <sheetData>
    <row r="1" customFormat="false" ht="17.25" hidden="false" customHeight="true" outlineLevel="0" collapsed="false">
      <c r="B1" s="2" t="s">
        <v>0</v>
      </c>
    </row>
    <row r="2" customFormat="false" ht="15" hidden="false" customHeight="true" outlineLevel="0" collapsed="false">
      <c r="B2" s="3" t="s">
        <v>1</v>
      </c>
    </row>
    <row r="3" customFormat="false" ht="15" hidden="false" customHeight="true" outlineLevel="0" collapsed="false">
      <c r="B3" s="4" t="s">
        <v>2</v>
      </c>
    </row>
    <row r="5" customFormat="false" ht="15" hidden="false" customHeight="true" outlineLevel="0" collapsed="false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</row>
    <row r="6" customFormat="false" ht="15" hidden="false" customHeight="true" outlineLevel="0" collapsed="false">
      <c r="B6" s="7" t="s">
        <v>9</v>
      </c>
      <c r="C6" s="8" t="s">
        <v>10</v>
      </c>
      <c r="D6" s="8" t="s">
        <v>11</v>
      </c>
      <c r="E6" s="8" t="s">
        <v>12</v>
      </c>
      <c r="F6" s="8" t="s">
        <v>13</v>
      </c>
      <c r="G6" s="8" t="s">
        <v>14</v>
      </c>
    </row>
    <row r="8" customFormat="false" ht="15" hidden="false" customHeight="true" outlineLevel="0" collapsed="false">
      <c r="B8" s="5" t="s">
        <v>15</v>
      </c>
      <c r="C8" s="5"/>
      <c r="D8" s="5"/>
      <c r="E8" s="5"/>
      <c r="F8" s="5"/>
      <c r="G8" s="5"/>
      <c r="H8" s="9" t="s">
        <v>16</v>
      </c>
    </row>
    <row r="9" customFormat="false" ht="15" hidden="false" customHeight="true" outlineLevel="0" collapsed="false">
      <c r="B9" s="7" t="s">
        <v>17</v>
      </c>
      <c r="C9" s="10" t="n">
        <v>2</v>
      </c>
      <c r="D9" s="10" t="n">
        <v>8</v>
      </c>
      <c r="E9" s="10" t="n">
        <v>18</v>
      </c>
      <c r="F9" s="10" t="n">
        <v>25</v>
      </c>
      <c r="G9" s="10" t="n">
        <v>30</v>
      </c>
      <c r="H9" s="11" t="s">
        <v>18</v>
      </c>
    </row>
    <row r="10" customFormat="false" ht="15" hidden="false" customHeight="true" outlineLevel="0" collapsed="false">
      <c r="B10" s="7" t="s">
        <v>19</v>
      </c>
      <c r="C10" s="12" t="n">
        <f aca="false">C9</f>
        <v>2</v>
      </c>
      <c r="D10" s="12" t="n">
        <f aca="false">C10+D9</f>
        <v>10</v>
      </c>
      <c r="E10" s="12" t="n">
        <f aca="false">D10+E9</f>
        <v>28</v>
      </c>
      <c r="F10" s="12" t="n">
        <f aca="false">E10+F9</f>
        <v>53</v>
      </c>
      <c r="G10" s="12" t="n">
        <f aca="false">F10+G9</f>
        <v>83</v>
      </c>
    </row>
    <row r="11" customFormat="false" ht="15" hidden="false" customHeight="true" outlineLevel="0" collapsed="false">
      <c r="B11" s="7" t="s">
        <v>20</v>
      </c>
      <c r="C11" s="13" t="n">
        <v>0</v>
      </c>
      <c r="D11" s="13" t="n">
        <v>0.05</v>
      </c>
      <c r="E11" s="13" t="n">
        <v>0.05</v>
      </c>
      <c r="F11" s="13" t="n">
        <v>0.05</v>
      </c>
      <c r="G11" s="13" t="n">
        <v>0.05</v>
      </c>
    </row>
    <row r="12" customFormat="false" ht="15" hidden="false" customHeight="true" outlineLevel="0" collapsed="false">
      <c r="B12" s="7" t="s">
        <v>21</v>
      </c>
      <c r="C12" s="12" t="n">
        <v>0</v>
      </c>
      <c r="D12" s="12" t="n">
        <f aca="false">ROUND(C10*D11,0)</f>
        <v>0</v>
      </c>
      <c r="E12" s="12" t="n">
        <f aca="false">ROUND(D10*E11,0)</f>
        <v>1</v>
      </c>
      <c r="F12" s="12" t="n">
        <f aca="false">ROUND(E10*F11,0)</f>
        <v>1</v>
      </c>
      <c r="G12" s="12" t="n">
        <f aca="false">ROUND(F10*G11,0)</f>
        <v>3</v>
      </c>
    </row>
    <row r="13" customFormat="false" ht="15" hidden="false" customHeight="true" outlineLevel="0" collapsed="false">
      <c r="B13" s="14" t="s">
        <v>22</v>
      </c>
      <c r="C13" s="15" t="n">
        <f aca="false">C10-C12</f>
        <v>2</v>
      </c>
      <c r="D13" s="15" t="n">
        <f aca="false">D10-D12</f>
        <v>10</v>
      </c>
      <c r="E13" s="15" t="n">
        <f aca="false">E10-E12</f>
        <v>27</v>
      </c>
      <c r="F13" s="15" t="n">
        <f aca="false">F10-F12</f>
        <v>52</v>
      </c>
      <c r="G13" s="15" t="n">
        <f aca="false">G10-G12</f>
        <v>80</v>
      </c>
    </row>
    <row r="15" customFormat="false" ht="15" hidden="false" customHeight="true" outlineLevel="0" collapsed="false">
      <c r="B15" s="5" t="s">
        <v>23</v>
      </c>
      <c r="C15" s="5"/>
      <c r="D15" s="5"/>
      <c r="E15" s="5"/>
      <c r="F15" s="5"/>
      <c r="G15" s="5"/>
      <c r="H15" s="9" t="s">
        <v>16</v>
      </c>
    </row>
    <row r="16" customFormat="false" ht="15" hidden="false" customHeight="true" outlineLevel="0" collapsed="false">
      <c r="B16" s="7" t="s">
        <v>24</v>
      </c>
      <c r="C16" s="16" t="n">
        <v>35000</v>
      </c>
      <c r="D16" s="16" t="n">
        <v>35000</v>
      </c>
      <c r="E16" s="16" t="n">
        <v>38000</v>
      </c>
      <c r="F16" s="16" t="n">
        <v>40000</v>
      </c>
      <c r="G16" s="16" t="n">
        <v>42000</v>
      </c>
      <c r="H16" s="11" t="s">
        <v>25</v>
      </c>
    </row>
    <row r="17" customFormat="false" ht="21.75" hidden="false" customHeight="true" outlineLevel="0" collapsed="false">
      <c r="B17" s="7" t="s">
        <v>26</v>
      </c>
      <c r="C17" s="16" t="n">
        <v>22000</v>
      </c>
      <c r="D17" s="16" t="n">
        <v>18000</v>
      </c>
      <c r="E17" s="16" t="n">
        <v>16000</v>
      </c>
      <c r="F17" s="16" t="n">
        <v>15000</v>
      </c>
      <c r="G17" s="16" t="n">
        <v>14000</v>
      </c>
      <c r="H17" s="11" t="s">
        <v>27</v>
      </c>
    </row>
    <row r="18" customFormat="false" ht="15" hidden="false" customHeight="true" outlineLevel="0" collapsed="false">
      <c r="B18" s="7" t="s">
        <v>28</v>
      </c>
      <c r="C18" s="17" t="n">
        <f aca="false">(C16-C17)/C16</f>
        <v>0.371428571428571</v>
      </c>
      <c r="D18" s="17" t="n">
        <f aca="false">(D16-D17)/D16</f>
        <v>0.485714285714286</v>
      </c>
      <c r="E18" s="17" t="n">
        <f aca="false">(E16-E17)/E16</f>
        <v>0.578947368421053</v>
      </c>
      <c r="F18" s="17" t="n">
        <f aca="false">(F16-F17)/F16</f>
        <v>0.625</v>
      </c>
      <c r="G18" s="17" t="n">
        <f aca="false">(G16-G17)/G16</f>
        <v>0.666666666666667</v>
      </c>
    </row>
    <row r="19" customFormat="false" ht="15" hidden="false" customHeight="true" outlineLevel="0" collapsed="false">
      <c r="B19" s="7" t="s">
        <v>29</v>
      </c>
      <c r="C19" s="16" t="n">
        <v>8000</v>
      </c>
      <c r="D19" s="16" t="n">
        <v>8000</v>
      </c>
      <c r="E19" s="16" t="n">
        <v>10000</v>
      </c>
      <c r="F19" s="16" t="n">
        <v>10000</v>
      </c>
      <c r="G19" s="16" t="n">
        <v>12000</v>
      </c>
    </row>
    <row r="20" customFormat="false" ht="15" hidden="false" customHeight="true" outlineLevel="0" collapsed="false">
      <c r="B20" s="7" t="s">
        <v>30</v>
      </c>
      <c r="C20" s="16" t="n">
        <v>6000</v>
      </c>
      <c r="D20" s="16" t="n">
        <v>5000</v>
      </c>
      <c r="E20" s="16" t="n">
        <v>5000</v>
      </c>
      <c r="F20" s="16" t="n">
        <v>5000</v>
      </c>
      <c r="G20" s="16" t="n">
        <v>5000</v>
      </c>
    </row>
    <row r="22" customFormat="false" ht="15" hidden="false" customHeight="true" outlineLevel="0" collapsed="false">
      <c r="B22" s="5" t="s">
        <v>31</v>
      </c>
      <c r="C22" s="5"/>
      <c r="D22" s="5"/>
      <c r="E22" s="5"/>
      <c r="F22" s="5"/>
      <c r="G22" s="5"/>
      <c r="H22" s="9" t="s">
        <v>16</v>
      </c>
    </row>
    <row r="23" customFormat="false" ht="15" hidden="false" customHeight="true" outlineLevel="0" collapsed="false">
      <c r="B23" s="7" t="s">
        <v>32</v>
      </c>
      <c r="C23" s="16" t="n">
        <v>3000</v>
      </c>
      <c r="D23" s="16" t="n">
        <v>4000</v>
      </c>
      <c r="E23" s="16" t="n">
        <v>4500</v>
      </c>
      <c r="F23" s="16" t="n">
        <v>5000</v>
      </c>
      <c r="G23" s="16" t="n">
        <v>5500</v>
      </c>
      <c r="H23" s="11" t="s">
        <v>33</v>
      </c>
    </row>
    <row r="24" customFormat="false" ht="21.75" hidden="false" customHeight="true" outlineLevel="0" collapsed="false">
      <c r="B24" s="7" t="s">
        <v>34</v>
      </c>
      <c r="C24" s="18" t="n">
        <f aca="false">C9/2</f>
        <v>1</v>
      </c>
      <c r="D24" s="18" t="n">
        <f aca="false">(C13+D13)/2</f>
        <v>6</v>
      </c>
      <c r="E24" s="18" t="n">
        <f aca="false">(D13+E13)/2</f>
        <v>18.5</v>
      </c>
      <c r="F24" s="18" t="n">
        <f aca="false">(E13+F13)/2</f>
        <v>39.5</v>
      </c>
      <c r="G24" s="18" t="n">
        <f aca="false">(F13+G13)/2</f>
        <v>66</v>
      </c>
      <c r="H24" s="11" t="s">
        <v>35</v>
      </c>
    </row>
    <row r="25" customFormat="false" ht="15" hidden="false" customHeight="true" outlineLevel="0" collapsed="false">
      <c r="B25" s="7" t="s">
        <v>36</v>
      </c>
      <c r="C25" s="19" t="n">
        <f aca="false">C23*12</f>
        <v>36000</v>
      </c>
      <c r="D25" s="19" t="n">
        <f aca="false">D23*12</f>
        <v>48000</v>
      </c>
      <c r="E25" s="19" t="n">
        <f aca="false">E23*12</f>
        <v>54000</v>
      </c>
      <c r="F25" s="19" t="n">
        <f aca="false">F23*12</f>
        <v>60000</v>
      </c>
      <c r="G25" s="19" t="n">
        <f aca="false">G23*12</f>
        <v>66000</v>
      </c>
    </row>
    <row r="27" customFormat="false" ht="15" hidden="false" customHeight="true" outlineLevel="0" collapsed="false">
      <c r="B27" s="5" t="s">
        <v>37</v>
      </c>
      <c r="C27" s="5"/>
      <c r="D27" s="5"/>
      <c r="E27" s="5"/>
      <c r="F27" s="5"/>
      <c r="G27" s="5"/>
      <c r="H27" s="9" t="s">
        <v>16</v>
      </c>
    </row>
    <row r="28" customFormat="false" ht="15" hidden="false" customHeight="true" outlineLevel="0" collapsed="false">
      <c r="B28" s="7" t="s">
        <v>38</v>
      </c>
      <c r="C28" s="20" t="n">
        <v>0.75</v>
      </c>
      <c r="D28" s="20" t="n">
        <v>0.75</v>
      </c>
      <c r="E28" s="20" t="n">
        <v>0.75</v>
      </c>
      <c r="F28" s="20" t="n">
        <v>0.75</v>
      </c>
      <c r="G28" s="20" t="n">
        <v>0.75</v>
      </c>
    </row>
    <row r="29" customFormat="false" ht="21.75" hidden="false" customHeight="true" outlineLevel="0" collapsed="false">
      <c r="B29" s="7" t="s">
        <v>39</v>
      </c>
      <c r="C29" s="10" t="n">
        <v>50</v>
      </c>
      <c r="D29" s="10" t="n">
        <v>100</v>
      </c>
      <c r="E29" s="10" t="n">
        <v>130</v>
      </c>
      <c r="F29" s="10" t="n">
        <v>150</v>
      </c>
      <c r="G29" s="10" t="n">
        <v>160</v>
      </c>
      <c r="H29" s="11" t="s">
        <v>40</v>
      </c>
    </row>
    <row r="30" customFormat="false" ht="15" hidden="false" customHeight="true" outlineLevel="0" collapsed="false">
      <c r="B30" s="7" t="s">
        <v>41</v>
      </c>
      <c r="C30" s="10" t="n">
        <v>300</v>
      </c>
      <c r="D30" s="10" t="n">
        <v>360</v>
      </c>
      <c r="E30" s="10" t="n">
        <v>360</v>
      </c>
      <c r="F30" s="10" t="n">
        <v>360</v>
      </c>
      <c r="G30" s="10" t="n">
        <v>360</v>
      </c>
    </row>
    <row r="32" customFormat="false" ht="15" hidden="false" customHeight="true" outlineLevel="0" collapsed="false">
      <c r="B32" s="5" t="s">
        <v>42</v>
      </c>
      <c r="C32" s="5"/>
      <c r="D32" s="5"/>
      <c r="E32" s="5"/>
      <c r="F32" s="5"/>
      <c r="G32" s="5"/>
      <c r="H32" s="9" t="s">
        <v>16</v>
      </c>
    </row>
    <row r="33" customFormat="false" ht="15" hidden="false" customHeight="true" outlineLevel="0" collapsed="false">
      <c r="B33" s="7" t="s">
        <v>43</v>
      </c>
      <c r="C33" s="16" t="n">
        <v>5000</v>
      </c>
      <c r="D33" s="16" t="n">
        <v>10000</v>
      </c>
      <c r="E33" s="16" t="n">
        <v>12000</v>
      </c>
      <c r="F33" s="16" t="n">
        <v>12000</v>
      </c>
      <c r="G33" s="16" t="n">
        <v>15000</v>
      </c>
      <c r="H33" s="11" t="s">
        <v>44</v>
      </c>
    </row>
    <row r="34" customFormat="false" ht="15" hidden="false" customHeight="true" outlineLevel="0" collapsed="false">
      <c r="B34" s="7" t="s">
        <v>45</v>
      </c>
      <c r="C34" s="16" t="n">
        <v>0</v>
      </c>
      <c r="D34" s="16" t="n">
        <v>500</v>
      </c>
      <c r="E34" s="16" t="n">
        <v>750</v>
      </c>
      <c r="F34" s="16" t="n">
        <v>750</v>
      </c>
      <c r="G34" s="16" t="n">
        <v>1000</v>
      </c>
    </row>
    <row r="35" customFormat="false" ht="15" hidden="false" customHeight="true" outlineLevel="0" collapsed="false">
      <c r="B35" s="7" t="s">
        <v>46</v>
      </c>
      <c r="C35" s="13" t="n">
        <v>0</v>
      </c>
      <c r="D35" s="13" t="n">
        <v>0.2</v>
      </c>
      <c r="E35" s="13" t="n">
        <v>0.3</v>
      </c>
      <c r="F35" s="13" t="n">
        <v>0.4</v>
      </c>
      <c r="G35" s="13" t="n">
        <v>0.5</v>
      </c>
    </row>
    <row r="37" customFormat="false" ht="15" hidden="false" customHeight="true" outlineLevel="0" collapsed="false">
      <c r="B37" s="5" t="s">
        <v>47</v>
      </c>
      <c r="C37" s="5"/>
      <c r="D37" s="5"/>
      <c r="E37" s="5"/>
      <c r="F37" s="5"/>
      <c r="G37" s="5"/>
      <c r="H37" s="9" t="s">
        <v>16</v>
      </c>
    </row>
    <row r="38" customFormat="false" ht="21.75" hidden="false" customHeight="true" outlineLevel="0" collapsed="false">
      <c r="B38" s="7" t="s">
        <v>48</v>
      </c>
      <c r="C38" s="16" t="n">
        <v>60000</v>
      </c>
      <c r="D38" s="16" t="n">
        <v>120000</v>
      </c>
      <c r="E38" s="16" t="n">
        <v>150000</v>
      </c>
      <c r="F38" s="16" t="n">
        <v>180000</v>
      </c>
      <c r="G38" s="16" t="n">
        <v>200000</v>
      </c>
      <c r="H38" s="11" t="s">
        <v>49</v>
      </c>
    </row>
    <row r="39" customFormat="false" ht="15" hidden="false" customHeight="true" outlineLevel="0" collapsed="false">
      <c r="B39" s="7" t="s">
        <v>50</v>
      </c>
      <c r="C39" s="16" t="n">
        <v>60000</v>
      </c>
      <c r="D39" s="16" t="n">
        <v>100000</v>
      </c>
      <c r="E39" s="16" t="n">
        <v>130000</v>
      </c>
      <c r="F39" s="16" t="n">
        <v>150000</v>
      </c>
      <c r="G39" s="16" t="n">
        <v>175000</v>
      </c>
    </row>
    <row r="40" customFormat="false" ht="21.75" hidden="false" customHeight="true" outlineLevel="0" collapsed="false">
      <c r="B40" s="7" t="s">
        <v>51</v>
      </c>
      <c r="C40" s="16" t="n">
        <v>0</v>
      </c>
      <c r="D40" s="16" t="n">
        <v>48000</v>
      </c>
      <c r="E40" s="16" t="n">
        <v>150000</v>
      </c>
      <c r="F40" s="16" t="n">
        <v>180000</v>
      </c>
      <c r="G40" s="16" t="n">
        <v>200000</v>
      </c>
      <c r="H40" s="11" t="s">
        <v>52</v>
      </c>
    </row>
    <row r="41" customFormat="false" ht="15" hidden="false" customHeight="true" outlineLevel="0" collapsed="false">
      <c r="B41" s="7" t="s">
        <v>53</v>
      </c>
      <c r="C41" s="16" t="n">
        <v>0</v>
      </c>
      <c r="D41" s="16" t="n">
        <v>180000</v>
      </c>
      <c r="E41" s="16" t="n">
        <v>360000</v>
      </c>
      <c r="F41" s="16" t="n">
        <v>500000</v>
      </c>
      <c r="G41" s="16" t="n">
        <v>600000</v>
      </c>
      <c r="H41" s="11" t="s">
        <v>54</v>
      </c>
    </row>
    <row r="42" customFormat="false" ht="15" hidden="false" customHeight="true" outlineLevel="0" collapsed="false">
      <c r="B42" s="7" t="s">
        <v>55</v>
      </c>
      <c r="C42" s="16" t="n">
        <v>15000</v>
      </c>
      <c r="D42" s="16" t="n">
        <v>40000</v>
      </c>
      <c r="E42" s="16" t="n">
        <v>60000</v>
      </c>
      <c r="F42" s="16" t="n">
        <v>75000</v>
      </c>
      <c r="G42" s="16" t="n">
        <v>90000</v>
      </c>
    </row>
    <row r="43" customFormat="false" ht="15" hidden="false" customHeight="true" outlineLevel="0" collapsed="false">
      <c r="B43" s="7" t="s">
        <v>56</v>
      </c>
      <c r="C43" s="16" t="n">
        <v>0</v>
      </c>
      <c r="D43" s="16" t="n">
        <v>60000</v>
      </c>
      <c r="E43" s="16" t="n">
        <v>120000</v>
      </c>
      <c r="F43" s="16" t="n">
        <v>200000</v>
      </c>
      <c r="G43" s="16" t="n">
        <v>300000</v>
      </c>
    </row>
    <row r="44" customFormat="false" ht="15" hidden="false" customHeight="true" outlineLevel="0" collapsed="false">
      <c r="B44" s="7" t="s">
        <v>57</v>
      </c>
      <c r="C44" s="16" t="n">
        <v>6000</v>
      </c>
      <c r="D44" s="16" t="n">
        <v>24000</v>
      </c>
      <c r="E44" s="16" t="n">
        <v>48000</v>
      </c>
      <c r="F44" s="16" t="n">
        <v>72000</v>
      </c>
      <c r="G44" s="16" t="n">
        <v>96000</v>
      </c>
      <c r="H44" s="11" t="s">
        <v>58</v>
      </c>
    </row>
    <row r="45" customFormat="false" ht="15" hidden="false" customHeight="true" outlineLevel="0" collapsed="false">
      <c r="B45" s="7" t="s">
        <v>59</v>
      </c>
      <c r="C45" s="16" t="n">
        <v>10000</v>
      </c>
      <c r="D45" s="16" t="n">
        <v>20000</v>
      </c>
      <c r="E45" s="16" t="n">
        <v>35000</v>
      </c>
      <c r="F45" s="16" t="n">
        <v>50000</v>
      </c>
      <c r="G45" s="16" t="n">
        <v>60000</v>
      </c>
    </row>
    <row r="46" customFormat="false" ht="15" hidden="false" customHeight="true" outlineLevel="0" collapsed="false">
      <c r="B46" s="7" t="s">
        <v>60</v>
      </c>
      <c r="C46" s="16" t="n">
        <v>12000</v>
      </c>
      <c r="D46" s="16" t="n">
        <v>24000</v>
      </c>
      <c r="E46" s="16" t="n">
        <v>36000</v>
      </c>
      <c r="F46" s="16" t="n">
        <v>48000</v>
      </c>
      <c r="G46" s="16" t="n">
        <v>60000</v>
      </c>
    </row>
    <row r="47" customFormat="false" ht="15" hidden="false" customHeight="true" outlineLevel="0" collapsed="false">
      <c r="B47" s="7" t="s">
        <v>61</v>
      </c>
      <c r="C47" s="16" t="n">
        <v>10000</v>
      </c>
      <c r="D47" s="16" t="n">
        <v>50000</v>
      </c>
      <c r="E47" s="16" t="n">
        <v>100000</v>
      </c>
      <c r="F47" s="16" t="n">
        <v>175000</v>
      </c>
      <c r="G47" s="16" t="n">
        <v>250000</v>
      </c>
    </row>
    <row r="48" customFormat="false" ht="15" hidden="false" customHeight="true" outlineLevel="0" collapsed="false">
      <c r="B48" s="7" t="s">
        <v>62</v>
      </c>
      <c r="C48" s="16" t="n">
        <v>0</v>
      </c>
      <c r="D48" s="16" t="n">
        <v>50000</v>
      </c>
      <c r="E48" s="16" t="n">
        <v>100000</v>
      </c>
      <c r="F48" s="16" t="n">
        <v>150000</v>
      </c>
      <c r="G48" s="16" t="n">
        <v>200000</v>
      </c>
    </row>
    <row r="50" customFormat="false" ht="15" hidden="false" customHeight="true" outlineLevel="0" collapsed="false">
      <c r="B50" s="5" t="s">
        <v>63</v>
      </c>
      <c r="C50" s="5"/>
      <c r="D50" s="5"/>
      <c r="E50" s="5"/>
      <c r="F50" s="5"/>
      <c r="G50" s="5"/>
    </row>
    <row r="51" customFormat="false" ht="15" hidden="false" customHeight="true" outlineLevel="0" collapsed="false">
      <c r="B51" s="7" t="s">
        <v>64</v>
      </c>
      <c r="C51" s="16" t="n">
        <v>350000</v>
      </c>
    </row>
    <row r="52" customFormat="false" ht="15" hidden="false" customHeight="true" outlineLevel="0" collapsed="false">
      <c r="B52" s="7" t="s">
        <v>65</v>
      </c>
      <c r="C52" s="16" t="n">
        <v>0</v>
      </c>
      <c r="D52" s="16" t="n">
        <v>200000</v>
      </c>
      <c r="H52" s="21" t="s">
        <v>66</v>
      </c>
    </row>
    <row r="53" customFormat="false" ht="15" hidden="false" customHeight="true" outlineLevel="0" collapsed="false">
      <c r="B53" s="7" t="s">
        <v>67</v>
      </c>
      <c r="D53" s="16" t="n">
        <v>2000000</v>
      </c>
      <c r="H53" s="11" t="s">
        <v>68</v>
      </c>
    </row>
    <row r="54" customFormat="false" ht="15" hidden="false" customHeight="true" outlineLevel="0" collapsed="false">
      <c r="B54" s="14" t="s">
        <v>69</v>
      </c>
      <c r="C54" s="22" t="n">
        <f aca="false">IF(ISNUMBER(C51),C51,0)+IF(ISNUMBER(C52),C52,0)+IF(ISNUMBER(C53),C53,0)</f>
        <v>350000</v>
      </c>
      <c r="D54" s="22" t="n">
        <f aca="false">IF(ISNUMBER(D51),D51,0)+IF(ISNUMBER(D52),D52,0)+IF(ISNUMBER(D53),D53,0)</f>
        <v>2200000</v>
      </c>
      <c r="E54" s="22" t="n">
        <f aca="false">IF(ISNUMBER(E51),E51,0)+IF(ISNUMBER(E52),E52,0)+IF(ISNUMBER(E53),E53,0)</f>
        <v>0</v>
      </c>
      <c r="F54" s="22" t="n">
        <f aca="false">IF(ISNUMBER(F51),F51,0)+IF(ISNUMBER(F52),F52,0)+IF(ISNUMBER(F53),F53,0)</f>
        <v>0</v>
      </c>
      <c r="G54" s="22" t="n">
        <f aca="false">IF(ISNUMBER(G51),G51,0)+IF(ISNUMBER(G52),G52,0)+IF(ISNUMBER(G53),G53,0)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A8F65"/>
    <pageSetUpPr fitToPage="false"/>
  </sheetPr>
  <dimension ref="A1:G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8"/>
    <col collapsed="false" customWidth="true" hidden="false" outlineLevel="0" max="7" min="3" style="1" width="16"/>
  </cols>
  <sheetData>
    <row r="1" customFormat="false" ht="17.25" hidden="false" customHeight="true" outlineLevel="0" collapsed="false">
      <c r="B1" s="2" t="s">
        <v>70</v>
      </c>
    </row>
    <row r="2" customFormat="false" ht="15" hidden="false" customHeight="true" outlineLevel="0" collapsed="false">
      <c r="B2" s="3" t="s">
        <v>71</v>
      </c>
    </row>
    <row r="4" customFormat="false" ht="15" hidden="false" customHeight="true" outlineLevel="0" collapsed="false">
      <c r="A4" s="23"/>
      <c r="B4" s="23"/>
      <c r="C4" s="23" t="s">
        <v>72</v>
      </c>
      <c r="D4" s="23" t="s">
        <v>73</v>
      </c>
      <c r="E4" s="23" t="s">
        <v>74</v>
      </c>
      <c r="F4" s="23" t="s">
        <v>75</v>
      </c>
      <c r="G4" s="23" t="s">
        <v>76</v>
      </c>
    </row>
    <row r="5" customFormat="false" ht="15" hidden="false" customHeight="true" outlineLevel="0" collapsed="false">
      <c r="B5" s="5" t="s">
        <v>77</v>
      </c>
      <c r="C5" s="5"/>
      <c r="D5" s="5"/>
      <c r="E5" s="5"/>
      <c r="F5" s="5"/>
      <c r="G5" s="5"/>
    </row>
    <row r="6" customFormat="false" ht="15" hidden="false" customHeight="true" outlineLevel="0" collapsed="false">
      <c r="B6" s="24" t="s">
        <v>78</v>
      </c>
      <c r="C6" s="25" t="n">
        <f aca="false">Assumptions!C9*Assumptions!C16</f>
        <v>70000</v>
      </c>
      <c r="D6" s="25" t="n">
        <f aca="false">Assumptions!D9*Assumptions!D16</f>
        <v>280000</v>
      </c>
      <c r="E6" s="25" t="n">
        <f aca="false">Assumptions!E9*Assumptions!E16</f>
        <v>684000</v>
      </c>
      <c r="F6" s="25" t="n">
        <f aca="false">Assumptions!F9*Assumptions!F16</f>
        <v>1000000</v>
      </c>
      <c r="G6" s="25" t="n">
        <f aca="false">Assumptions!G9*Assumptions!G16</f>
        <v>1260000</v>
      </c>
    </row>
    <row r="7" customFormat="false" ht="15" hidden="false" customHeight="true" outlineLevel="0" collapsed="false">
      <c r="B7" s="24" t="s">
        <v>79</v>
      </c>
      <c r="C7" s="25" t="n">
        <f aca="false">Assumptions!C9*Assumptions!C19</f>
        <v>16000</v>
      </c>
      <c r="D7" s="25" t="n">
        <f aca="false">Assumptions!D9*Assumptions!D19</f>
        <v>64000</v>
      </c>
      <c r="E7" s="25" t="n">
        <f aca="false">Assumptions!E9*Assumptions!E19</f>
        <v>180000</v>
      </c>
      <c r="F7" s="25" t="n">
        <f aca="false">Assumptions!F9*Assumptions!F19</f>
        <v>250000</v>
      </c>
      <c r="G7" s="25" t="n">
        <f aca="false">Assumptions!G9*Assumptions!G19</f>
        <v>360000</v>
      </c>
    </row>
    <row r="8" customFormat="false" ht="15" hidden="false" customHeight="true" outlineLevel="0" collapsed="false">
      <c r="B8" s="24" t="s">
        <v>80</v>
      </c>
      <c r="C8" s="25" t="n">
        <f aca="false">Assumptions!C24*Assumptions!C25</f>
        <v>36000</v>
      </c>
      <c r="D8" s="25" t="n">
        <f aca="false">Assumptions!D24*Assumptions!D25</f>
        <v>288000</v>
      </c>
      <c r="E8" s="25" t="n">
        <f aca="false">Assumptions!E24*Assumptions!E25</f>
        <v>999000</v>
      </c>
      <c r="F8" s="25" t="n">
        <f aca="false">Assumptions!F24*Assumptions!F25</f>
        <v>2370000</v>
      </c>
      <c r="G8" s="25" t="n">
        <f aca="false">Assumptions!G24*Assumptions!G25</f>
        <v>4356000</v>
      </c>
    </row>
    <row r="9" customFormat="false" ht="15" hidden="false" customHeight="true" outlineLevel="0" collapsed="false">
      <c r="B9" s="24" t="s">
        <v>81</v>
      </c>
      <c r="C9" s="25" t="n">
        <f aca="false">Assumptions!C24*Assumptions!C28*Assumptions!C29*Assumptions!C30</f>
        <v>11250</v>
      </c>
      <c r="D9" s="25" t="n">
        <f aca="false">Assumptions!D24*Assumptions!D28*Assumptions!D29*Assumptions!D30</f>
        <v>162000</v>
      </c>
      <c r="E9" s="25" t="n">
        <f aca="false">Assumptions!E24*Assumptions!E28*Assumptions!E29*Assumptions!E30</f>
        <v>649350</v>
      </c>
      <c r="F9" s="25" t="n">
        <f aca="false">Assumptions!F24*Assumptions!F28*Assumptions!F29*Assumptions!F30</f>
        <v>1599750</v>
      </c>
      <c r="G9" s="25" t="n">
        <f aca="false">Assumptions!G24*Assumptions!G28*Assumptions!G29*Assumptions!G30</f>
        <v>2851200</v>
      </c>
    </row>
    <row r="10" customFormat="false" ht="15" hidden="false" customHeight="true" outlineLevel="0" collapsed="false">
      <c r="B10" s="24" t="s">
        <v>82</v>
      </c>
      <c r="C10" s="25" t="n">
        <f aca="false">Assumptions!C9*Assumptions!C33</f>
        <v>10000</v>
      </c>
      <c r="D10" s="25" t="n">
        <f aca="false">Assumptions!D9*Assumptions!D33</f>
        <v>80000</v>
      </c>
      <c r="E10" s="25" t="n">
        <f aca="false">Assumptions!E9*Assumptions!E33</f>
        <v>216000</v>
      </c>
      <c r="F10" s="25" t="n">
        <f aca="false">Assumptions!F9*Assumptions!F33</f>
        <v>300000</v>
      </c>
      <c r="G10" s="25" t="n">
        <f aca="false">Assumptions!G9*Assumptions!G33</f>
        <v>450000</v>
      </c>
    </row>
    <row r="11" customFormat="false" ht="15" hidden="false" customHeight="true" outlineLevel="0" collapsed="false">
      <c r="B11" s="24" t="s">
        <v>83</v>
      </c>
      <c r="C11" s="25" t="n">
        <f aca="false">Assumptions!C24*Assumptions!C34*12*Assumptions!C35</f>
        <v>0</v>
      </c>
      <c r="D11" s="25" t="n">
        <f aca="false">Assumptions!D24*Assumptions!D34*12*Assumptions!D35</f>
        <v>7200</v>
      </c>
      <c r="E11" s="25" t="n">
        <f aca="false">Assumptions!E24*Assumptions!E34*12*Assumptions!E35</f>
        <v>49950</v>
      </c>
      <c r="F11" s="25" t="n">
        <f aca="false">Assumptions!F24*Assumptions!F34*12*Assumptions!F35</f>
        <v>142200</v>
      </c>
      <c r="G11" s="25" t="n">
        <f aca="false">Assumptions!G24*Assumptions!G34*12*Assumptions!G35</f>
        <v>396000</v>
      </c>
    </row>
    <row r="12" customFormat="false" ht="15" hidden="false" customHeight="true" outlineLevel="0" collapsed="false">
      <c r="B12" s="14" t="s">
        <v>84</v>
      </c>
      <c r="C12" s="26" t="n">
        <f aca="false">SUM(C6:C11)</f>
        <v>143250</v>
      </c>
      <c r="D12" s="26" t="n">
        <f aca="false">SUM(D6:D11)</f>
        <v>881200</v>
      </c>
      <c r="E12" s="26" t="n">
        <f aca="false">SUM(E6:E11)</f>
        <v>2778300</v>
      </c>
      <c r="F12" s="26" t="n">
        <f aca="false">SUM(F6:F11)</f>
        <v>5661950</v>
      </c>
      <c r="G12" s="26" t="n">
        <f aca="false">SUM(G6:G11)</f>
        <v>9673200</v>
      </c>
    </row>
    <row r="14" customFormat="false" ht="15" hidden="false" customHeight="true" outlineLevel="0" collapsed="false">
      <c r="B14" s="5" t="s">
        <v>85</v>
      </c>
      <c r="C14" s="5"/>
      <c r="D14" s="5"/>
      <c r="E14" s="5"/>
      <c r="F14" s="5"/>
      <c r="G14" s="5"/>
    </row>
    <row r="15" customFormat="false" ht="15" hidden="false" customHeight="true" outlineLevel="0" collapsed="false">
      <c r="B15" s="24" t="s">
        <v>86</v>
      </c>
      <c r="C15" s="25" t="n">
        <f aca="false">Assumptions!C9*Assumptions!C17</f>
        <v>44000</v>
      </c>
      <c r="D15" s="25" t="n">
        <f aca="false">Assumptions!D9*Assumptions!D17</f>
        <v>144000</v>
      </c>
      <c r="E15" s="25" t="n">
        <f aca="false">Assumptions!E9*Assumptions!E17</f>
        <v>288000</v>
      </c>
      <c r="F15" s="25" t="n">
        <f aca="false">Assumptions!F9*Assumptions!F17</f>
        <v>375000</v>
      </c>
      <c r="G15" s="25" t="n">
        <f aca="false">Assumptions!G9*Assumptions!G17</f>
        <v>420000</v>
      </c>
    </row>
    <row r="16" customFormat="false" ht="15" hidden="false" customHeight="true" outlineLevel="0" collapsed="false">
      <c r="B16" s="24" t="s">
        <v>87</v>
      </c>
      <c r="C16" s="25" t="n">
        <f aca="false">Assumptions!C9*Assumptions!C20</f>
        <v>12000</v>
      </c>
      <c r="D16" s="25" t="n">
        <f aca="false">Assumptions!D9*Assumptions!D20</f>
        <v>40000</v>
      </c>
      <c r="E16" s="25" t="n">
        <f aca="false">Assumptions!E9*Assumptions!E20</f>
        <v>90000</v>
      </c>
      <c r="F16" s="25" t="n">
        <f aca="false">Assumptions!F9*Assumptions!F20</f>
        <v>125000</v>
      </c>
      <c r="G16" s="25" t="n">
        <f aca="false">Assumptions!G9*Assumptions!G20</f>
        <v>150000</v>
      </c>
    </row>
    <row r="17" customFormat="false" ht="15" hidden="false" customHeight="true" outlineLevel="0" collapsed="false">
      <c r="B17" s="24" t="s">
        <v>88</v>
      </c>
      <c r="C17" s="25" t="n">
        <f aca="false">Assumptions!C44</f>
        <v>6000</v>
      </c>
      <c r="D17" s="25" t="n">
        <f aca="false">Assumptions!D44</f>
        <v>24000</v>
      </c>
      <c r="E17" s="25" t="n">
        <f aca="false">Assumptions!E44</f>
        <v>48000</v>
      </c>
      <c r="F17" s="25" t="n">
        <f aca="false">Assumptions!F44</f>
        <v>72000</v>
      </c>
      <c r="G17" s="25" t="n">
        <f aca="false">Assumptions!G44</f>
        <v>96000</v>
      </c>
    </row>
    <row r="18" customFormat="false" ht="15" hidden="false" customHeight="true" outlineLevel="0" collapsed="false">
      <c r="B18" s="14" t="s">
        <v>89</v>
      </c>
      <c r="C18" s="22" t="n">
        <f aca="false">SUM(C15:C17)</f>
        <v>62000</v>
      </c>
      <c r="D18" s="22" t="n">
        <f aca="false">SUM(D15:D17)</f>
        <v>208000</v>
      </c>
      <c r="E18" s="22" t="n">
        <f aca="false">SUM(E15:E17)</f>
        <v>426000</v>
      </c>
      <c r="F18" s="22" t="n">
        <f aca="false">SUM(F15:F17)</f>
        <v>572000</v>
      </c>
      <c r="G18" s="22" t="n">
        <f aca="false">SUM(G15:G17)</f>
        <v>666000</v>
      </c>
    </row>
    <row r="20" customFormat="false" ht="15" hidden="false" customHeight="true" outlineLevel="0" collapsed="false">
      <c r="B20" s="5" t="s">
        <v>90</v>
      </c>
      <c r="C20" s="5"/>
      <c r="D20" s="5"/>
      <c r="E20" s="5"/>
      <c r="F20" s="5"/>
      <c r="G20" s="5"/>
    </row>
    <row r="21" customFormat="false" ht="15" hidden="false" customHeight="true" outlineLevel="0" collapsed="false">
      <c r="B21" s="14" t="s">
        <v>91</v>
      </c>
      <c r="C21" s="22" t="n">
        <f aca="false">C12-C18</f>
        <v>81250</v>
      </c>
      <c r="D21" s="22" t="n">
        <f aca="false">D12-D18</f>
        <v>673200</v>
      </c>
      <c r="E21" s="22" t="n">
        <f aca="false">E12-E18</f>
        <v>2352300</v>
      </c>
      <c r="F21" s="22" t="n">
        <f aca="false">F12-F18</f>
        <v>5089950</v>
      </c>
      <c r="G21" s="22" t="n">
        <f aca="false">G12-G18</f>
        <v>9007200</v>
      </c>
    </row>
    <row r="22" customFormat="false" ht="15" hidden="false" customHeight="true" outlineLevel="0" collapsed="false">
      <c r="B22" s="7" t="s">
        <v>92</v>
      </c>
      <c r="C22" s="17" t="n">
        <f aca="false">IF(C12=0,0,C21/C12)</f>
        <v>0.567190226876091</v>
      </c>
      <c r="D22" s="17" t="n">
        <f aca="false">IF(D12=0,0,D21/D12)</f>
        <v>0.76395823876532</v>
      </c>
      <c r="E22" s="17" t="n">
        <f aca="false">IF(E12=0,0,E21/E12)</f>
        <v>0.846668826260663</v>
      </c>
      <c r="F22" s="17" t="n">
        <f aca="false">IF(F12=0,0,F21/F12)</f>
        <v>0.898974734852833</v>
      </c>
      <c r="G22" s="17" t="n">
        <f aca="false">IF(G12=0,0,G21/G12)</f>
        <v>0.931149981391887</v>
      </c>
    </row>
    <row r="24" customFormat="false" ht="15" hidden="false" customHeight="true" outlineLevel="0" collapsed="false">
      <c r="B24" s="5" t="s">
        <v>93</v>
      </c>
      <c r="C24" s="5"/>
      <c r="D24" s="5"/>
      <c r="E24" s="5"/>
      <c r="F24" s="5"/>
      <c r="G24" s="5"/>
    </row>
    <row r="25" customFormat="false" ht="15" hidden="false" customHeight="true" outlineLevel="0" collapsed="false">
      <c r="B25" s="24" t="s">
        <v>94</v>
      </c>
      <c r="C25" s="25" t="n">
        <f aca="false">Assumptions!C38</f>
        <v>60000</v>
      </c>
      <c r="D25" s="25" t="n">
        <f aca="false">Assumptions!D38</f>
        <v>120000</v>
      </c>
      <c r="E25" s="25" t="n">
        <f aca="false">Assumptions!E38</f>
        <v>150000</v>
      </c>
      <c r="F25" s="25" t="n">
        <f aca="false">Assumptions!F38</f>
        <v>180000</v>
      </c>
      <c r="G25" s="25" t="n">
        <f aca="false">Assumptions!G38</f>
        <v>200000</v>
      </c>
    </row>
    <row r="26" customFormat="false" ht="15" hidden="false" customHeight="true" outlineLevel="0" collapsed="false">
      <c r="B26" s="24" t="s">
        <v>95</v>
      </c>
      <c r="C26" s="25" t="n">
        <f aca="false">Assumptions!C39</f>
        <v>60000</v>
      </c>
      <c r="D26" s="25" t="n">
        <f aca="false">Assumptions!D39</f>
        <v>100000</v>
      </c>
      <c r="E26" s="25" t="n">
        <f aca="false">Assumptions!E39</f>
        <v>130000</v>
      </c>
      <c r="F26" s="25" t="n">
        <f aca="false">Assumptions!F39</f>
        <v>150000</v>
      </c>
      <c r="G26" s="25" t="n">
        <f aca="false">Assumptions!G39</f>
        <v>175000</v>
      </c>
    </row>
    <row r="27" customFormat="false" ht="15" hidden="false" customHeight="true" outlineLevel="0" collapsed="false">
      <c r="B27" s="24" t="s">
        <v>96</v>
      </c>
      <c r="C27" s="25" t="n">
        <f aca="false">Assumptions!C40</f>
        <v>0</v>
      </c>
      <c r="D27" s="25" t="n">
        <f aca="false">Assumptions!D40</f>
        <v>48000</v>
      </c>
      <c r="E27" s="25" t="n">
        <f aca="false">Assumptions!E40</f>
        <v>150000</v>
      </c>
      <c r="F27" s="25" t="n">
        <f aca="false">Assumptions!F40</f>
        <v>180000</v>
      </c>
      <c r="G27" s="25" t="n">
        <f aca="false">Assumptions!G40</f>
        <v>200000</v>
      </c>
    </row>
    <row r="28" customFormat="false" ht="15" hidden="false" customHeight="true" outlineLevel="0" collapsed="false">
      <c r="B28" s="24" t="s">
        <v>97</v>
      </c>
      <c r="C28" s="25" t="n">
        <f aca="false">Assumptions!C41</f>
        <v>0</v>
      </c>
      <c r="D28" s="25" t="n">
        <f aca="false">Assumptions!D41</f>
        <v>180000</v>
      </c>
      <c r="E28" s="25" t="n">
        <f aca="false">Assumptions!E41</f>
        <v>360000</v>
      </c>
      <c r="F28" s="25" t="n">
        <f aca="false">Assumptions!F41</f>
        <v>500000</v>
      </c>
      <c r="G28" s="25" t="n">
        <f aca="false">Assumptions!G41</f>
        <v>600000</v>
      </c>
    </row>
    <row r="29" customFormat="false" ht="15" hidden="false" customHeight="true" outlineLevel="0" collapsed="false">
      <c r="B29" s="24" t="s">
        <v>98</v>
      </c>
      <c r="C29" s="25" t="n">
        <f aca="false">Assumptions!C42</f>
        <v>15000</v>
      </c>
      <c r="D29" s="25" t="n">
        <f aca="false">Assumptions!D42</f>
        <v>40000</v>
      </c>
      <c r="E29" s="25" t="n">
        <f aca="false">Assumptions!E42</f>
        <v>60000</v>
      </c>
      <c r="F29" s="25" t="n">
        <f aca="false">Assumptions!F42</f>
        <v>75000</v>
      </c>
      <c r="G29" s="25" t="n">
        <f aca="false">Assumptions!G42</f>
        <v>90000</v>
      </c>
    </row>
    <row r="30" customFormat="false" ht="15" hidden="false" customHeight="true" outlineLevel="0" collapsed="false">
      <c r="B30" s="24" t="s">
        <v>99</v>
      </c>
      <c r="C30" s="25" t="n">
        <f aca="false">Assumptions!C43</f>
        <v>0</v>
      </c>
      <c r="D30" s="25" t="n">
        <f aca="false">Assumptions!D43</f>
        <v>60000</v>
      </c>
      <c r="E30" s="25" t="n">
        <f aca="false">Assumptions!E43</f>
        <v>120000</v>
      </c>
      <c r="F30" s="25" t="n">
        <f aca="false">Assumptions!F43</f>
        <v>200000</v>
      </c>
      <c r="G30" s="25" t="n">
        <f aca="false">Assumptions!G43</f>
        <v>300000</v>
      </c>
    </row>
    <row r="31" customFormat="false" ht="15" hidden="false" customHeight="true" outlineLevel="0" collapsed="false">
      <c r="B31" s="24" t="s">
        <v>100</v>
      </c>
      <c r="C31" s="25" t="n">
        <f aca="false">Assumptions!C45</f>
        <v>10000</v>
      </c>
      <c r="D31" s="25" t="n">
        <f aca="false">Assumptions!D45</f>
        <v>20000</v>
      </c>
      <c r="E31" s="25" t="n">
        <f aca="false">Assumptions!E45</f>
        <v>35000</v>
      </c>
      <c r="F31" s="25" t="n">
        <f aca="false">Assumptions!F45</f>
        <v>50000</v>
      </c>
      <c r="G31" s="25" t="n">
        <f aca="false">Assumptions!G45</f>
        <v>60000</v>
      </c>
    </row>
    <row r="32" customFormat="false" ht="15" hidden="false" customHeight="true" outlineLevel="0" collapsed="false">
      <c r="B32" s="24" t="s">
        <v>101</v>
      </c>
      <c r="C32" s="25" t="n">
        <f aca="false">Assumptions!C46</f>
        <v>12000</v>
      </c>
      <c r="D32" s="25" t="n">
        <f aca="false">Assumptions!D46</f>
        <v>24000</v>
      </c>
      <c r="E32" s="25" t="n">
        <f aca="false">Assumptions!E46</f>
        <v>36000</v>
      </c>
      <c r="F32" s="25" t="n">
        <f aca="false">Assumptions!F46</f>
        <v>48000</v>
      </c>
      <c r="G32" s="25" t="n">
        <f aca="false">Assumptions!G46</f>
        <v>60000</v>
      </c>
    </row>
    <row r="33" customFormat="false" ht="15" hidden="false" customHeight="true" outlineLevel="0" collapsed="false">
      <c r="B33" s="24" t="s">
        <v>102</v>
      </c>
      <c r="C33" s="25" t="n">
        <f aca="false">Assumptions!C47</f>
        <v>10000</v>
      </c>
      <c r="D33" s="25" t="n">
        <f aca="false">Assumptions!D47</f>
        <v>50000</v>
      </c>
      <c r="E33" s="25" t="n">
        <f aca="false">Assumptions!E47</f>
        <v>100000</v>
      </c>
      <c r="F33" s="25" t="n">
        <f aca="false">Assumptions!F47</f>
        <v>175000</v>
      </c>
      <c r="G33" s="25" t="n">
        <f aca="false">Assumptions!G47</f>
        <v>250000</v>
      </c>
    </row>
    <row r="34" customFormat="false" ht="15" hidden="false" customHeight="true" outlineLevel="0" collapsed="false">
      <c r="B34" s="24" t="s">
        <v>103</v>
      </c>
      <c r="C34" s="25" t="n">
        <f aca="false">Assumptions!C48</f>
        <v>0</v>
      </c>
      <c r="D34" s="25" t="n">
        <f aca="false">Assumptions!D48</f>
        <v>50000</v>
      </c>
      <c r="E34" s="25" t="n">
        <f aca="false">Assumptions!E48</f>
        <v>100000</v>
      </c>
      <c r="F34" s="25" t="n">
        <f aca="false">Assumptions!F48</f>
        <v>150000</v>
      </c>
      <c r="G34" s="25" t="n">
        <f aca="false">Assumptions!G48</f>
        <v>200000</v>
      </c>
    </row>
    <row r="35" customFormat="false" ht="15" hidden="false" customHeight="true" outlineLevel="0" collapsed="false">
      <c r="B35" s="14" t="s">
        <v>104</v>
      </c>
      <c r="C35" s="22" t="n">
        <f aca="false">SUM(C25:C34)</f>
        <v>167000</v>
      </c>
      <c r="D35" s="22" t="n">
        <f aca="false">SUM(D25:D34)</f>
        <v>692000</v>
      </c>
      <c r="E35" s="22" t="n">
        <f aca="false">SUM(E25:E34)</f>
        <v>1241000</v>
      </c>
      <c r="F35" s="22" t="n">
        <f aca="false">SUM(F25:F34)</f>
        <v>1708000</v>
      </c>
      <c r="G35" s="22" t="n">
        <f aca="false">SUM(G25:G34)</f>
        <v>2135000</v>
      </c>
    </row>
    <row r="37" customFormat="false" ht="15" hidden="false" customHeight="true" outlineLevel="0" collapsed="false">
      <c r="B37" s="5" t="s">
        <v>105</v>
      </c>
      <c r="C37" s="5"/>
      <c r="D37" s="5"/>
      <c r="E37" s="5"/>
      <c r="F37" s="5"/>
      <c r="G37" s="5"/>
    </row>
    <row r="38" customFormat="false" ht="15" hidden="false" customHeight="true" outlineLevel="0" collapsed="false">
      <c r="B38" s="14" t="s">
        <v>105</v>
      </c>
      <c r="C38" s="26" t="n">
        <f aca="false">C21-C35</f>
        <v>-85750</v>
      </c>
      <c r="D38" s="26" t="n">
        <f aca="false">D21-D35</f>
        <v>-18800</v>
      </c>
      <c r="E38" s="26" t="n">
        <f aca="false">E21-E35</f>
        <v>1111300</v>
      </c>
      <c r="F38" s="26" t="n">
        <f aca="false">F21-F35</f>
        <v>3381950</v>
      </c>
      <c r="G38" s="26" t="n">
        <f aca="false">G21-G35</f>
        <v>6872200</v>
      </c>
    </row>
    <row r="39" customFormat="false" ht="15" hidden="false" customHeight="true" outlineLevel="0" collapsed="false">
      <c r="B39" s="7" t="s">
        <v>106</v>
      </c>
      <c r="C39" s="17" t="n">
        <f aca="false">IF(C12=0,0,C38/C12)</f>
        <v>-0.598603839441536</v>
      </c>
      <c r="D39" s="17" t="n">
        <f aca="false">IF(D12=0,0,D38/D12)</f>
        <v>-0.0213345438039038</v>
      </c>
      <c r="E39" s="17" t="n">
        <f aca="false">IF(E12=0,0,E38/E12)</f>
        <v>0.399992801353346</v>
      </c>
      <c r="F39" s="17" t="n">
        <f aca="false">IF(F12=0,0,F38/F12)</f>
        <v>0.597311880182623</v>
      </c>
      <c r="G39" s="17" t="n">
        <f aca="false">IF(G12=0,0,G38/G12)</f>
        <v>0.710437083901915</v>
      </c>
    </row>
    <row r="41" customFormat="false" ht="15" hidden="false" customHeight="true" outlineLevel="0" collapsed="false">
      <c r="B41" s="5" t="s">
        <v>107</v>
      </c>
      <c r="C41" s="5"/>
      <c r="D41" s="5"/>
      <c r="E41" s="5"/>
      <c r="F41" s="5"/>
      <c r="G41" s="5"/>
    </row>
    <row r="42" customFormat="false" ht="15" hidden="false" customHeight="true" outlineLevel="0" collapsed="false">
      <c r="B42" s="7" t="s">
        <v>22</v>
      </c>
      <c r="C42" s="27" t="n">
        <f aca="false">Assumptions!C13</f>
        <v>2</v>
      </c>
      <c r="D42" s="27" t="n">
        <f aca="false">Assumptions!D13</f>
        <v>10</v>
      </c>
      <c r="E42" s="27" t="n">
        <f aca="false">Assumptions!E13</f>
        <v>27</v>
      </c>
      <c r="F42" s="27" t="n">
        <f aca="false">Assumptions!F13</f>
        <v>52</v>
      </c>
      <c r="G42" s="27" t="n">
        <f aca="false">Assumptions!G13</f>
        <v>80</v>
      </c>
    </row>
    <row r="43" customFormat="false" ht="15" hidden="false" customHeight="true" outlineLevel="0" collapsed="false">
      <c r="B43" s="7" t="s">
        <v>108</v>
      </c>
      <c r="C43" s="19" t="n">
        <f aca="false">IF(Assumptions!C24=0,0,C12/Assumptions!C24)</f>
        <v>143250</v>
      </c>
      <c r="D43" s="19" t="n">
        <f aca="false">IF(Assumptions!D24=0,0,D12/Assumptions!D24)</f>
        <v>146866.666666667</v>
      </c>
      <c r="E43" s="19" t="n">
        <f aca="false">IF(Assumptions!E24=0,0,E12/Assumptions!E24)</f>
        <v>150178.378378378</v>
      </c>
      <c r="F43" s="19" t="n">
        <f aca="false">IF(Assumptions!F24=0,0,F12/Assumptions!F24)</f>
        <v>143340.506329114</v>
      </c>
      <c r="G43" s="19" t="n">
        <f aca="false">IF(Assumptions!G24=0,0,G12/Assumptions!G24)</f>
        <v>146563.636363636</v>
      </c>
    </row>
    <row r="44" customFormat="false" ht="15" hidden="false" customHeight="true" outlineLevel="0" collapsed="false">
      <c r="B44" s="7" t="s">
        <v>109</v>
      </c>
      <c r="C44" s="19" t="n">
        <f aca="false">Assumptions!C13*(Assumptions!C23*12+Assumptions!C28*Assumptions!C29*Assumptions!C30)</f>
        <v>94500</v>
      </c>
      <c r="D44" s="19" t="n">
        <f aca="false">Assumptions!D13*(Assumptions!D23*12+Assumptions!D28*Assumptions!D29*Assumptions!D30)</f>
        <v>750000</v>
      </c>
      <c r="E44" s="19" t="n">
        <f aca="false">Assumptions!E13*(Assumptions!E23*12+Assumptions!E28*Assumptions!E29*Assumptions!E30)</f>
        <v>2405700</v>
      </c>
      <c r="F44" s="19" t="n">
        <f aca="false">Assumptions!F13*(Assumptions!F23*12+Assumptions!F28*Assumptions!F29*Assumptions!F30)</f>
        <v>5226000</v>
      </c>
      <c r="G44" s="19" t="n">
        <f aca="false">Assumptions!G13*(Assumptions!G23*12+Assumptions!G28*Assumptions!G29*Assumptions!G30)</f>
        <v>8736000</v>
      </c>
    </row>
    <row r="45" customFormat="false" ht="15" hidden="false" customHeight="true" outlineLevel="0" collapsed="false">
      <c r="B45" s="7" t="s">
        <v>110</v>
      </c>
      <c r="C45" s="17" t="n">
        <v>0</v>
      </c>
      <c r="D45" s="17" t="n">
        <f aca="false">IF(C12=0,0,(D12-C12)/C12)</f>
        <v>5.15148342059337</v>
      </c>
      <c r="E45" s="17" t="n">
        <f aca="false">IF(D12=0,0,(E12-D12)/D12)</f>
        <v>2.15285973672265</v>
      </c>
      <c r="F45" s="17" t="n">
        <f aca="false">IF(E12=0,0,(F12-E12)/E12)</f>
        <v>1.0379188712522</v>
      </c>
      <c r="G45" s="17" t="n">
        <f aca="false">IF(F12=0,0,(G12-F12)/F12)</f>
        <v>0.708457333604147</v>
      </c>
    </row>
    <row r="46" customFormat="false" ht="15" hidden="false" customHeight="true" outlineLevel="0" collapsed="false">
      <c r="B46" s="7" t="s">
        <v>111</v>
      </c>
      <c r="C46" s="17" t="n">
        <f aca="false">IF(C12=0,0,(C8+C9+C11)/C12)</f>
        <v>0.329842931937173</v>
      </c>
      <c r="D46" s="17" t="n">
        <f aca="false">IF(D12=0,0,(D8+D9+D11)/D12)</f>
        <v>0.518837948252383</v>
      </c>
      <c r="E46" s="17" t="n">
        <f aca="false">IF(E12=0,0,(E8+E9+E11)/E12)</f>
        <v>0.611273080660836</v>
      </c>
      <c r="F46" s="17" t="n">
        <f aca="false">IF(F12=0,0,(F8+F9+F11)/F12)</f>
        <v>0.726242725562748</v>
      </c>
      <c r="G46" s="17" t="n">
        <f aca="false">IF(G12=0,0,(G8+G9+G11)/G12)</f>
        <v>0.786006698920729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8DB7"/>
    <pageSetUpPr fitToPage="false"/>
  </sheetPr>
  <dimension ref="A1:G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8"/>
    <col collapsed="false" customWidth="true" hidden="false" outlineLevel="0" max="7" min="3" style="1" width="16"/>
  </cols>
  <sheetData>
    <row r="1" customFormat="false" ht="17.25" hidden="false" customHeight="true" outlineLevel="0" collapsed="false">
      <c r="B1" s="2" t="s">
        <v>112</v>
      </c>
    </row>
    <row r="2" customFormat="false" ht="15" hidden="false" customHeight="true" outlineLevel="0" collapsed="false">
      <c r="B2" s="3" t="s">
        <v>113</v>
      </c>
    </row>
    <row r="4" customFormat="false" ht="15" hidden="false" customHeight="true" outlineLevel="0" collapsed="false">
      <c r="A4" s="23"/>
      <c r="B4" s="23"/>
      <c r="C4" s="23" t="s">
        <v>72</v>
      </c>
      <c r="D4" s="23" t="s">
        <v>73</v>
      </c>
      <c r="E4" s="23" t="s">
        <v>74</v>
      </c>
      <c r="F4" s="23" t="s">
        <v>75</v>
      </c>
      <c r="G4" s="23" t="s">
        <v>76</v>
      </c>
    </row>
    <row r="5" customFormat="false" ht="15" hidden="false" customHeight="true" outlineLevel="0" collapsed="false">
      <c r="B5" s="14" t="s">
        <v>114</v>
      </c>
      <c r="C5" s="19" t="n">
        <v>0</v>
      </c>
      <c r="D5" s="22" t="n">
        <f aca="false">C16</f>
        <v>264250</v>
      </c>
      <c r="E5" s="22" t="n">
        <f aca="false">D16</f>
        <v>2445450</v>
      </c>
      <c r="F5" s="22" t="n">
        <f aca="false">E16</f>
        <v>3556750</v>
      </c>
      <c r="G5" s="22" t="n">
        <f aca="false">F16</f>
        <v>6938700</v>
      </c>
    </row>
    <row r="7" customFormat="false" ht="15" hidden="false" customHeight="true" outlineLevel="0" collapsed="false">
      <c r="B7" s="5" t="s">
        <v>115</v>
      </c>
      <c r="C7" s="5"/>
      <c r="D7" s="5"/>
      <c r="E7" s="5"/>
      <c r="F7" s="5"/>
      <c r="G7" s="5"/>
    </row>
    <row r="8" customFormat="false" ht="15" hidden="false" customHeight="true" outlineLevel="0" collapsed="false">
      <c r="B8" s="24" t="s">
        <v>116</v>
      </c>
      <c r="C8" s="25" t="n">
        <f aca="false">Assumptions!C54</f>
        <v>350000</v>
      </c>
      <c r="D8" s="25" t="n">
        <f aca="false">Assumptions!D54</f>
        <v>2200000</v>
      </c>
      <c r="E8" s="25" t="n">
        <f aca="false">Assumptions!E54</f>
        <v>0</v>
      </c>
      <c r="F8" s="25" t="n">
        <f aca="false">Assumptions!F54</f>
        <v>0</v>
      </c>
      <c r="G8" s="25" t="n">
        <f aca="false">Assumptions!G54</f>
        <v>0</v>
      </c>
    </row>
    <row r="9" customFormat="false" ht="15" hidden="false" customHeight="true" outlineLevel="0" collapsed="false">
      <c r="B9" s="24" t="s">
        <v>117</v>
      </c>
      <c r="C9" s="25" t="n">
        <f aca="false">'P&amp;L'!C12</f>
        <v>143250</v>
      </c>
      <c r="D9" s="25" t="n">
        <f aca="false">'P&amp;L'!D12</f>
        <v>881200</v>
      </c>
      <c r="E9" s="25" t="n">
        <f aca="false">'P&amp;L'!E12</f>
        <v>2778300</v>
      </c>
      <c r="F9" s="25" t="n">
        <f aca="false">'P&amp;L'!F12</f>
        <v>5661950</v>
      </c>
      <c r="G9" s="25" t="n">
        <f aca="false">'P&amp;L'!G12</f>
        <v>9673200</v>
      </c>
    </row>
    <row r="10" customFormat="false" ht="15" hidden="false" customHeight="true" outlineLevel="0" collapsed="false">
      <c r="B10" s="14" t="s">
        <v>118</v>
      </c>
      <c r="C10" s="22" t="n">
        <f aca="false">C8+C9</f>
        <v>493250</v>
      </c>
      <c r="D10" s="22" t="n">
        <f aca="false">D8+D9</f>
        <v>3081200</v>
      </c>
      <c r="E10" s="22" t="n">
        <f aca="false">E8+E9</f>
        <v>2778300</v>
      </c>
      <c r="F10" s="22" t="n">
        <f aca="false">F8+F9</f>
        <v>5661950</v>
      </c>
      <c r="G10" s="22" t="n">
        <f aca="false">G8+G9</f>
        <v>9673200</v>
      </c>
    </row>
    <row r="12" customFormat="false" ht="15" hidden="false" customHeight="true" outlineLevel="0" collapsed="false">
      <c r="B12" s="5" t="s">
        <v>119</v>
      </c>
      <c r="C12" s="5"/>
      <c r="D12" s="5"/>
      <c r="E12" s="5"/>
      <c r="F12" s="5"/>
      <c r="G12" s="5"/>
    </row>
    <row r="13" customFormat="false" ht="15" hidden="false" customHeight="true" outlineLevel="0" collapsed="false">
      <c r="B13" s="24" t="s">
        <v>120</v>
      </c>
      <c r="C13" s="25" t="n">
        <f aca="false">'P&amp;L'!C18</f>
        <v>62000</v>
      </c>
      <c r="D13" s="25" t="n">
        <f aca="false">'P&amp;L'!D18</f>
        <v>208000</v>
      </c>
      <c r="E13" s="25" t="n">
        <f aca="false">'P&amp;L'!E18</f>
        <v>426000</v>
      </c>
      <c r="F13" s="25" t="n">
        <f aca="false">'P&amp;L'!F18</f>
        <v>572000</v>
      </c>
      <c r="G13" s="25" t="n">
        <f aca="false">'P&amp;L'!G18</f>
        <v>666000</v>
      </c>
    </row>
    <row r="14" customFormat="false" ht="15" hidden="false" customHeight="true" outlineLevel="0" collapsed="false">
      <c r="B14" s="24" t="s">
        <v>121</v>
      </c>
      <c r="C14" s="25" t="n">
        <f aca="false">'P&amp;L'!C35</f>
        <v>167000</v>
      </c>
      <c r="D14" s="25" t="n">
        <f aca="false">'P&amp;L'!D35</f>
        <v>692000</v>
      </c>
      <c r="E14" s="25" t="n">
        <f aca="false">'P&amp;L'!E35</f>
        <v>1241000</v>
      </c>
      <c r="F14" s="25" t="n">
        <f aca="false">'P&amp;L'!F35</f>
        <v>1708000</v>
      </c>
      <c r="G14" s="25" t="n">
        <f aca="false">'P&amp;L'!G35</f>
        <v>2135000</v>
      </c>
    </row>
    <row r="15" customFormat="false" ht="15" hidden="false" customHeight="true" outlineLevel="0" collapsed="false">
      <c r="B15" s="14" t="s">
        <v>122</v>
      </c>
      <c r="C15" s="22" t="n">
        <f aca="false">C13+C14</f>
        <v>229000</v>
      </c>
      <c r="D15" s="22" t="n">
        <f aca="false">D13+D14</f>
        <v>900000</v>
      </c>
      <c r="E15" s="22" t="n">
        <f aca="false">E13+E14</f>
        <v>1667000</v>
      </c>
      <c r="F15" s="22" t="n">
        <f aca="false">F13+F14</f>
        <v>2280000</v>
      </c>
      <c r="G15" s="22" t="n">
        <f aca="false">G13+G14</f>
        <v>2801000</v>
      </c>
    </row>
    <row r="16" customFormat="false" ht="15" hidden="false" customHeight="true" outlineLevel="0" collapsed="false">
      <c r="B16" s="14" t="s">
        <v>123</v>
      </c>
      <c r="C16" s="26" t="n">
        <f aca="false">C5+C18</f>
        <v>264250</v>
      </c>
      <c r="D16" s="26" t="n">
        <f aca="false">D5+D18</f>
        <v>2445450</v>
      </c>
      <c r="E16" s="26" t="n">
        <f aca="false">E5+E18</f>
        <v>3556750</v>
      </c>
      <c r="F16" s="26" t="n">
        <f aca="false">F5+F18</f>
        <v>6938700</v>
      </c>
      <c r="G16" s="26" t="n">
        <f aca="false">G5+G18</f>
        <v>13810900</v>
      </c>
    </row>
    <row r="17" customFormat="false" ht="15" hidden="false" customHeight="true" outlineLevel="0" collapsed="false">
      <c r="B17" s="5" t="s">
        <v>124</v>
      </c>
      <c r="C17" s="5"/>
      <c r="D17" s="5"/>
      <c r="E17" s="5"/>
      <c r="F17" s="5"/>
      <c r="G17" s="5"/>
    </row>
    <row r="18" customFormat="false" ht="15" hidden="false" customHeight="true" outlineLevel="0" collapsed="false">
      <c r="B18" s="14" t="s">
        <v>125</v>
      </c>
      <c r="C18" s="22" t="n">
        <f aca="false">C10-C15</f>
        <v>264250</v>
      </c>
      <c r="D18" s="22" t="n">
        <f aca="false">D10-D15</f>
        <v>2181200</v>
      </c>
      <c r="E18" s="22" t="n">
        <f aca="false">E10-E15</f>
        <v>1111300</v>
      </c>
      <c r="F18" s="22" t="n">
        <f aca="false">F10-F15</f>
        <v>3381950</v>
      </c>
      <c r="G18" s="22" t="n">
        <f aca="false">G10-G15</f>
        <v>6872200</v>
      </c>
    </row>
    <row r="20" customFormat="false" ht="15" hidden="false" customHeight="true" outlineLevel="0" collapsed="false">
      <c r="B20" s="5" t="s">
        <v>126</v>
      </c>
      <c r="C20" s="5"/>
      <c r="D20" s="5"/>
      <c r="E20" s="5"/>
      <c r="F20" s="5"/>
      <c r="G20" s="5"/>
    </row>
    <row r="21" customFormat="false" ht="15" hidden="false" customHeight="true" outlineLevel="0" collapsed="false">
      <c r="B21" s="7" t="s">
        <v>127</v>
      </c>
      <c r="C21" s="28" t="n">
        <f aca="false">IF('P&amp;L'!C38&lt;0,'P&amp;L'!C38/12,0)</f>
        <v>-7145.83333333333</v>
      </c>
      <c r="D21" s="28" t="n">
        <f aca="false">IF('P&amp;L'!D38&lt;0,'P&amp;L'!D38/12,0)</f>
        <v>-1566.66666666667</v>
      </c>
      <c r="E21" s="28" t="n">
        <f aca="false">IF('P&amp;L'!E38&lt;0,'P&amp;L'!E38/12,0)</f>
        <v>0</v>
      </c>
      <c r="F21" s="28" t="n">
        <f aca="false">IF('P&amp;L'!F38&lt;0,'P&amp;L'!F38/12,0)</f>
        <v>0</v>
      </c>
      <c r="G21" s="28" t="n">
        <f aca="false">IF('P&amp;L'!G38&lt;0,'P&amp;L'!G38/12,0)</f>
        <v>0</v>
      </c>
    </row>
    <row r="22" customFormat="false" ht="15" hidden="false" customHeight="true" outlineLevel="0" collapsed="false">
      <c r="B22" s="7" t="s">
        <v>128</v>
      </c>
      <c r="C22" s="18" t="n">
        <f aca="false">IF(C21=0,"Cash Flow +",ROUND(C16/C21*-1,1))</f>
        <v>37</v>
      </c>
      <c r="D22" s="18" t="n">
        <f aca="false">IF(D21=0,"Cash Flow +",ROUND(D16/D21*-1,1))</f>
        <v>1560.9</v>
      </c>
      <c r="E22" s="18" t="str">
        <f aca="false">IF(E21=0,"Cash Flow +",ROUND(E16/E21*-1,1))</f>
        <v>Cash Flow +</v>
      </c>
      <c r="F22" s="18" t="str">
        <f aca="false">IF(F21=0,"Cash Flow +",ROUND(F16/F21*-1,1))</f>
        <v>Cash Flow +</v>
      </c>
      <c r="G22" s="18" t="str">
        <f aca="false">IF(G21=0,"Cash Flow +",ROUND(G16/G21*-1,1))</f>
        <v>Cash Flow +</v>
      </c>
    </row>
    <row r="23" customFormat="false" ht="15" hidden="false" customHeight="true" outlineLevel="0" collapsed="false">
      <c r="B23" s="7" t="s">
        <v>129</v>
      </c>
      <c r="C23" s="7" t="str">
        <f aca="false">IF(C18&gt;=0,"YES","NO")</f>
        <v>YES</v>
      </c>
      <c r="D23" s="7" t="str">
        <f aca="false">IF(D18&gt;=0,"YES","NO")</f>
        <v>YES</v>
      </c>
      <c r="E23" s="7" t="str">
        <f aca="false">IF(E18&gt;=0,"YES","NO")</f>
        <v>YES</v>
      </c>
      <c r="F23" s="7" t="str">
        <f aca="false">IF(F18&gt;=0,"YES","NO")</f>
        <v>YES</v>
      </c>
      <c r="G23" s="7" t="str">
        <f aca="false">IF(G18&gt;=0,"YES","NO")</f>
        <v>YES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27840"/>
    <pageSetUpPr fitToPage="false"/>
  </sheetPr>
  <dimension ref="A1:G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8"/>
    <col collapsed="false" customWidth="true" hidden="false" outlineLevel="0" max="7" min="3" style="1" width="16"/>
  </cols>
  <sheetData>
    <row r="1" customFormat="false" ht="17.25" hidden="false" customHeight="true" outlineLevel="0" collapsed="false">
      <c r="B1" s="2" t="s">
        <v>130</v>
      </c>
    </row>
    <row r="2" customFormat="false" ht="15" hidden="false" customHeight="true" outlineLevel="0" collapsed="false">
      <c r="B2" s="3" t="s">
        <v>131</v>
      </c>
    </row>
    <row r="4" customFormat="false" ht="15" hidden="false" customHeight="true" outlineLevel="0" collapsed="false">
      <c r="A4" s="23"/>
      <c r="B4" s="23"/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</row>
    <row r="5" customFormat="false" ht="15" hidden="false" customHeight="true" outlineLevel="0" collapsed="false">
      <c r="B5" s="5" t="s">
        <v>132</v>
      </c>
      <c r="C5" s="5"/>
      <c r="D5" s="5"/>
      <c r="E5" s="5"/>
      <c r="F5" s="5"/>
      <c r="G5" s="5"/>
    </row>
    <row r="6" customFormat="false" ht="15" hidden="false" customHeight="true" outlineLevel="0" collapsed="false">
      <c r="B6" s="7" t="s">
        <v>133</v>
      </c>
      <c r="C6" s="10" t="n">
        <v>1</v>
      </c>
      <c r="D6" s="10" t="n">
        <v>4</v>
      </c>
      <c r="E6" s="10" t="n">
        <v>10</v>
      </c>
      <c r="F6" s="10" t="n">
        <v>18</v>
      </c>
      <c r="G6" s="10" t="n">
        <v>25</v>
      </c>
    </row>
    <row r="7" customFormat="false" ht="15" hidden="false" customHeight="true" outlineLevel="0" collapsed="false">
      <c r="B7" s="7" t="s">
        <v>134</v>
      </c>
      <c r="C7" s="10" t="n">
        <v>30</v>
      </c>
      <c r="D7" s="10" t="n">
        <v>70</v>
      </c>
      <c r="E7" s="10" t="n">
        <v>100</v>
      </c>
      <c r="F7" s="10" t="n">
        <v>120</v>
      </c>
      <c r="G7" s="10" t="n">
        <v>140</v>
      </c>
    </row>
    <row r="8" customFormat="false" ht="15" hidden="false" customHeight="true" outlineLevel="0" collapsed="false">
      <c r="B8" s="7" t="s">
        <v>135</v>
      </c>
      <c r="C8" s="16" t="n">
        <v>2500</v>
      </c>
      <c r="D8" s="16" t="n">
        <v>3500</v>
      </c>
      <c r="E8" s="16" t="n">
        <v>4000</v>
      </c>
      <c r="F8" s="16" t="n">
        <v>4500</v>
      </c>
      <c r="G8" s="16" t="n">
        <v>5000</v>
      </c>
    </row>
    <row r="9" customFormat="false" ht="15" hidden="false" customHeight="true" outlineLevel="0" collapsed="false">
      <c r="B9" s="7" t="s">
        <v>136</v>
      </c>
      <c r="C9" s="12" t="n">
        <f aca="false">C6</f>
        <v>1</v>
      </c>
      <c r="D9" s="12" t="n">
        <f aca="false">C9+D6</f>
        <v>5</v>
      </c>
      <c r="E9" s="12" t="n">
        <f aca="false">D9+E6</f>
        <v>15</v>
      </c>
      <c r="F9" s="12" t="n">
        <f aca="false">E9+F6</f>
        <v>33</v>
      </c>
      <c r="G9" s="12" t="n">
        <f aca="false">F9+G6</f>
        <v>58</v>
      </c>
    </row>
    <row r="10" customFormat="false" ht="15" hidden="false" customHeight="true" outlineLevel="0" collapsed="false">
      <c r="B10" s="7" t="s">
        <v>137</v>
      </c>
      <c r="C10" s="18" t="n">
        <f aca="false">C6/2</f>
        <v>0.5</v>
      </c>
      <c r="D10" s="18" t="n">
        <f aca="false">(C9+D9)/2</f>
        <v>3</v>
      </c>
      <c r="E10" s="18" t="n">
        <f aca="false">(D9+E9)/2</f>
        <v>10</v>
      </c>
      <c r="F10" s="18" t="n">
        <f aca="false">(E9+F9)/2</f>
        <v>24</v>
      </c>
      <c r="G10" s="18" t="n">
        <f aca="false">(F9+G9)/2</f>
        <v>45.5</v>
      </c>
    </row>
    <row r="11" customFormat="false" ht="15" hidden="false" customHeight="true" outlineLevel="0" collapsed="false">
      <c r="B11" s="14" t="s">
        <v>138</v>
      </c>
      <c r="C11" s="22" t="n">
        <f aca="false">C6*35000+C6*8000+C10*C8*12+C10*0.75*C7*360+C6*8000</f>
        <v>70050</v>
      </c>
      <c r="D11" s="22" t="n">
        <f aca="false">D6*35000+D6*8000+D10*D8*12+D10*0.75*D7*360+D6*8000</f>
        <v>386700</v>
      </c>
      <c r="E11" s="22" t="n">
        <f aca="false">E6*35000+E6*8000+E10*E8*12+E10*0.75*E7*360+E6*8000</f>
        <v>1260000</v>
      </c>
      <c r="F11" s="22" t="n">
        <f aca="false">F6*35000+F6*8000+F10*F8*12+F10*0.75*F7*360+F6*8000</f>
        <v>2991600</v>
      </c>
      <c r="G11" s="22" t="n">
        <f aca="false">G6*35000+G6*8000+G10*G8*12+G10*0.75*G7*360+G6*8000</f>
        <v>5724900</v>
      </c>
    </row>
    <row r="12" customFormat="false" ht="15" hidden="false" customHeight="true" outlineLevel="0" collapsed="false">
      <c r="B12" s="7" t="s">
        <v>139</v>
      </c>
      <c r="C12" s="19" t="n">
        <f aca="false">C9*(C8*12+0.75*C7*360)</f>
        <v>38100</v>
      </c>
      <c r="D12" s="19" t="n">
        <f aca="false">D9*(D8*12+0.75*D7*360)</f>
        <v>304500</v>
      </c>
      <c r="E12" s="19" t="n">
        <f aca="false">E9*(E8*12+0.75*E7*360)</f>
        <v>1125000</v>
      </c>
      <c r="F12" s="19" t="n">
        <f aca="false">F9*(F8*12+0.75*F7*360)</f>
        <v>2851200</v>
      </c>
      <c r="G12" s="19" t="n">
        <f aca="false">G9*(G8*12+0.75*G7*360)</f>
        <v>5672400</v>
      </c>
    </row>
    <row r="14" customFormat="false" ht="15" hidden="false" customHeight="true" outlineLevel="0" collapsed="false">
      <c r="B14" s="5" t="s">
        <v>140</v>
      </c>
      <c r="C14" s="5"/>
      <c r="D14" s="5"/>
      <c r="E14" s="5"/>
      <c r="F14" s="5"/>
      <c r="G14" s="5"/>
    </row>
    <row r="15" customFormat="false" ht="15" hidden="false" customHeight="true" outlineLevel="0" collapsed="false">
      <c r="B15" s="7" t="s">
        <v>133</v>
      </c>
      <c r="C15" s="10" t="n">
        <v>2</v>
      </c>
      <c r="D15" s="10" t="n">
        <v>8</v>
      </c>
      <c r="E15" s="10" t="n">
        <v>18</v>
      </c>
      <c r="F15" s="10" t="n">
        <v>25</v>
      </c>
      <c r="G15" s="10" t="n">
        <v>30</v>
      </c>
    </row>
    <row r="16" customFormat="false" ht="15" hidden="false" customHeight="true" outlineLevel="0" collapsed="false">
      <c r="B16" s="7" t="s">
        <v>134</v>
      </c>
      <c r="C16" s="10" t="n">
        <v>50</v>
      </c>
      <c r="D16" s="10" t="n">
        <v>100</v>
      </c>
      <c r="E16" s="10" t="n">
        <v>130</v>
      </c>
      <c r="F16" s="10" t="n">
        <v>150</v>
      </c>
      <c r="G16" s="10" t="n">
        <v>160</v>
      </c>
    </row>
    <row r="17" customFormat="false" ht="15" hidden="false" customHeight="true" outlineLevel="0" collapsed="false">
      <c r="B17" s="7" t="s">
        <v>135</v>
      </c>
      <c r="C17" s="16" t="n">
        <v>3000</v>
      </c>
      <c r="D17" s="16" t="n">
        <v>4000</v>
      </c>
      <c r="E17" s="16" t="n">
        <v>4500</v>
      </c>
      <c r="F17" s="16" t="n">
        <v>5000</v>
      </c>
      <c r="G17" s="16" t="n">
        <v>5500</v>
      </c>
    </row>
    <row r="18" customFormat="false" ht="15" hidden="false" customHeight="true" outlineLevel="0" collapsed="false">
      <c r="B18" s="7" t="s">
        <v>136</v>
      </c>
      <c r="C18" s="12" t="n">
        <f aca="false">C15</f>
        <v>2</v>
      </c>
      <c r="D18" s="12" t="n">
        <f aca="false">C18+D15</f>
        <v>10</v>
      </c>
      <c r="E18" s="12" t="n">
        <f aca="false">D18+E15</f>
        <v>28</v>
      </c>
      <c r="F18" s="12" t="n">
        <f aca="false">E18+F15</f>
        <v>53</v>
      </c>
      <c r="G18" s="12" t="n">
        <f aca="false">F18+G15</f>
        <v>83</v>
      </c>
    </row>
    <row r="19" customFormat="false" ht="15" hidden="false" customHeight="true" outlineLevel="0" collapsed="false">
      <c r="B19" s="7" t="s">
        <v>137</v>
      </c>
      <c r="C19" s="18" t="n">
        <f aca="false">C15/2</f>
        <v>1</v>
      </c>
      <c r="D19" s="18" t="n">
        <f aca="false">(C18+D18)/2</f>
        <v>6</v>
      </c>
      <c r="E19" s="18" t="n">
        <f aca="false">(D18+E18)/2</f>
        <v>19</v>
      </c>
      <c r="F19" s="18" t="n">
        <f aca="false">(E18+F18)/2</f>
        <v>40.5</v>
      </c>
      <c r="G19" s="18" t="n">
        <f aca="false">(F18+G18)/2</f>
        <v>68</v>
      </c>
    </row>
    <row r="20" customFormat="false" ht="15" hidden="false" customHeight="true" outlineLevel="0" collapsed="false">
      <c r="B20" s="14" t="s">
        <v>138</v>
      </c>
      <c r="C20" s="22" t="n">
        <f aca="false">C15*35000+C15*8000+C19*C17*12+C19*0.75*C16*360+C15*10000</f>
        <v>155500</v>
      </c>
      <c r="D20" s="22" t="n">
        <f aca="false">D15*35000+D15*8000+D19*D17*12+D19*0.75*D16*360+D15*10000</f>
        <v>874000</v>
      </c>
      <c r="E20" s="22" t="n">
        <f aca="false">E15*35000+E15*8000+E19*E17*12+E19*0.75*E16*360+E15*10000</f>
        <v>2646900</v>
      </c>
      <c r="F20" s="22" t="n">
        <f aca="false">F15*35000+F15*8000+F19*F17*12+F19*0.75*F16*360+F15*10000</f>
        <v>5395250</v>
      </c>
      <c r="G20" s="22" t="n">
        <f aca="false">G15*35000+G15*8000+G19*G17*12+G19*0.75*G16*360+G15*10000</f>
        <v>9015600</v>
      </c>
    </row>
    <row r="21" customFormat="false" ht="15" hidden="false" customHeight="true" outlineLevel="0" collapsed="false">
      <c r="B21" s="7" t="s">
        <v>139</v>
      </c>
      <c r="C21" s="19" t="n">
        <f aca="false">C18*(C17*12+0.75*C16*360)</f>
        <v>99000</v>
      </c>
      <c r="D21" s="19" t="n">
        <f aca="false">D18*(D17*12+0.75*D16*360)</f>
        <v>750000</v>
      </c>
      <c r="E21" s="19" t="n">
        <f aca="false">E18*(E17*12+0.75*E16*360)</f>
        <v>2494800</v>
      </c>
      <c r="F21" s="19" t="n">
        <f aca="false">F18*(F17*12+0.75*F16*360)</f>
        <v>5326500</v>
      </c>
      <c r="G21" s="19" t="n">
        <f aca="false">G18*(G17*12+0.75*G16*360)</f>
        <v>9063600</v>
      </c>
    </row>
    <row r="23" customFormat="false" ht="15" hidden="false" customHeight="true" outlineLevel="0" collapsed="false">
      <c r="B23" s="5" t="s">
        <v>141</v>
      </c>
      <c r="C23" s="5"/>
      <c r="D23" s="5"/>
      <c r="E23" s="5"/>
      <c r="F23" s="5"/>
      <c r="G23" s="5"/>
    </row>
    <row r="24" customFormat="false" ht="15" hidden="false" customHeight="true" outlineLevel="0" collapsed="false">
      <c r="B24" s="7" t="s">
        <v>133</v>
      </c>
      <c r="C24" s="10" t="n">
        <v>2</v>
      </c>
      <c r="D24" s="10" t="n">
        <v>15</v>
      </c>
      <c r="E24" s="10" t="n">
        <v>30</v>
      </c>
      <c r="F24" s="10" t="n">
        <v>40</v>
      </c>
      <c r="G24" s="10" t="n">
        <v>50</v>
      </c>
    </row>
    <row r="25" customFormat="false" ht="15" hidden="false" customHeight="true" outlineLevel="0" collapsed="false">
      <c r="B25" s="7" t="s">
        <v>134</v>
      </c>
      <c r="C25" s="10" t="n">
        <v>60</v>
      </c>
      <c r="D25" s="10" t="n">
        <v>130</v>
      </c>
      <c r="E25" s="10" t="n">
        <v>160</v>
      </c>
      <c r="F25" s="10" t="n">
        <v>180</v>
      </c>
      <c r="G25" s="10" t="n">
        <v>200</v>
      </c>
    </row>
    <row r="26" customFormat="false" ht="15" hidden="false" customHeight="true" outlineLevel="0" collapsed="false">
      <c r="B26" s="7" t="s">
        <v>135</v>
      </c>
      <c r="C26" s="16" t="n">
        <v>3000</v>
      </c>
      <c r="D26" s="16" t="n">
        <v>4500</v>
      </c>
      <c r="E26" s="16" t="n">
        <v>5000</v>
      </c>
      <c r="F26" s="16" t="n">
        <v>5500</v>
      </c>
      <c r="G26" s="16" t="n">
        <v>6000</v>
      </c>
    </row>
    <row r="27" customFormat="false" ht="15" hidden="false" customHeight="true" outlineLevel="0" collapsed="false">
      <c r="B27" s="7" t="s">
        <v>136</v>
      </c>
      <c r="C27" s="12" t="n">
        <f aca="false">C24</f>
        <v>2</v>
      </c>
      <c r="D27" s="12" t="n">
        <f aca="false">C27+D24</f>
        <v>17</v>
      </c>
      <c r="E27" s="12" t="n">
        <f aca="false">D27+E24</f>
        <v>47</v>
      </c>
      <c r="F27" s="12" t="n">
        <f aca="false">E27+F24</f>
        <v>87</v>
      </c>
      <c r="G27" s="12" t="n">
        <f aca="false">F27+G24</f>
        <v>137</v>
      </c>
    </row>
    <row r="28" customFormat="false" ht="15" hidden="false" customHeight="true" outlineLevel="0" collapsed="false">
      <c r="B28" s="7" t="s">
        <v>137</v>
      </c>
      <c r="C28" s="18" t="n">
        <f aca="false">C24/2</f>
        <v>1</v>
      </c>
      <c r="D28" s="18" t="n">
        <f aca="false">(C27+D27)/2</f>
        <v>9.5</v>
      </c>
      <c r="E28" s="18" t="n">
        <f aca="false">(D27+E27)/2</f>
        <v>32</v>
      </c>
      <c r="F28" s="18" t="n">
        <f aca="false">(E27+F27)/2</f>
        <v>67</v>
      </c>
      <c r="G28" s="18" t="n">
        <f aca="false">(F27+G27)/2</f>
        <v>112</v>
      </c>
    </row>
    <row r="29" customFormat="false" ht="15" hidden="false" customHeight="true" outlineLevel="0" collapsed="false">
      <c r="B29" s="14" t="s">
        <v>138</v>
      </c>
      <c r="C29" s="22" t="n">
        <f aca="false">C24*38000+C24*10000+C28*C26*12+C28*0.75*C25*360+C24*12000</f>
        <v>172200</v>
      </c>
      <c r="D29" s="22" t="n">
        <f aca="false">D24*38000+D24*10000+D28*D26*12+D28*0.75*D25*360+D24*12000</f>
        <v>1746450</v>
      </c>
      <c r="E29" s="22" t="n">
        <f aca="false">E24*38000+E24*10000+E28*E26*12+E28*0.75*E25*360+E24*12000</f>
        <v>5102400</v>
      </c>
      <c r="F29" s="22" t="n">
        <f aca="false">F24*38000+F24*10000+F28*F26*12+F28*0.75*F25*360+F24*12000</f>
        <v>10078200</v>
      </c>
      <c r="G29" s="22" t="n">
        <f aca="false">G24*38000+G24*10000+G28*G26*12+G28*0.75*G25*360+G24*12000</f>
        <v>17112000</v>
      </c>
    </row>
    <row r="30" customFormat="false" ht="15" hidden="false" customHeight="true" outlineLevel="0" collapsed="false">
      <c r="B30" s="7" t="s">
        <v>139</v>
      </c>
      <c r="C30" s="19" t="n">
        <f aca="false">C27*(C26*12+0.75*C25*360)</f>
        <v>104400</v>
      </c>
      <c r="D30" s="19" t="n">
        <f aca="false">D27*(D26*12+0.75*D25*360)</f>
        <v>1514700</v>
      </c>
      <c r="E30" s="19" t="n">
        <f aca="false">E27*(E26*12+0.75*E25*360)</f>
        <v>4850400</v>
      </c>
      <c r="F30" s="19" t="n">
        <f aca="false">F27*(F26*12+0.75*F25*360)</f>
        <v>9970200</v>
      </c>
      <c r="G30" s="19" t="n">
        <f aca="false">G27*(G26*12+0.75*G25*360)</f>
        <v>17262000</v>
      </c>
    </row>
    <row r="32" customFormat="false" ht="15" hidden="false" customHeight="true" outlineLevel="0" collapsed="false">
      <c r="B32" s="5" t="s">
        <v>142</v>
      </c>
      <c r="C32" s="5"/>
      <c r="D32" s="5"/>
      <c r="E32" s="5"/>
      <c r="F32" s="5"/>
      <c r="G32" s="5"/>
    </row>
    <row r="33" customFormat="false" ht="15" hidden="false" customHeight="true" outlineLevel="0" collapsed="false">
      <c r="B33" s="7" t="s">
        <v>143</v>
      </c>
      <c r="C33" s="22" t="n">
        <f aca="false">G11</f>
        <v>5724900</v>
      </c>
    </row>
    <row r="34" customFormat="false" ht="15" hidden="false" customHeight="true" outlineLevel="0" collapsed="false">
      <c r="B34" s="7" t="s">
        <v>144</v>
      </c>
      <c r="C34" s="22" t="n">
        <f aca="false">G20</f>
        <v>9015600</v>
      </c>
    </row>
    <row r="35" customFormat="false" ht="15" hidden="false" customHeight="true" outlineLevel="0" collapsed="false">
      <c r="B35" s="7" t="s">
        <v>145</v>
      </c>
      <c r="C35" s="22" t="n">
        <f aca="false">G29</f>
        <v>17112000</v>
      </c>
    </row>
    <row r="37" customFormat="false" ht="15" hidden="false" customHeight="true" outlineLevel="0" collapsed="false">
      <c r="B37" s="7" t="s">
        <v>146</v>
      </c>
      <c r="C37" s="19" t="n">
        <f aca="false">G12</f>
        <v>5672400</v>
      </c>
    </row>
    <row r="38" customFormat="false" ht="15" hidden="false" customHeight="true" outlineLevel="0" collapsed="false">
      <c r="B38" s="7" t="s">
        <v>147</v>
      </c>
      <c r="C38" s="19" t="n">
        <f aca="false">G21</f>
        <v>9063600</v>
      </c>
    </row>
    <row r="39" customFormat="false" ht="15" hidden="false" customHeight="true" outlineLevel="0" collapsed="false">
      <c r="B39" s="7" t="s">
        <v>148</v>
      </c>
      <c r="C39" s="19" t="n">
        <f aca="false">G30</f>
        <v>17262000</v>
      </c>
    </row>
    <row r="41" customFormat="false" ht="15" hidden="false" customHeight="true" outlineLevel="0" collapsed="false">
      <c r="B41" s="5" t="s">
        <v>149</v>
      </c>
      <c r="C41" s="5"/>
      <c r="D41" s="5"/>
      <c r="E41" s="5"/>
      <c r="F41" s="5"/>
      <c r="G41" s="5"/>
    </row>
    <row r="42" customFormat="false" ht="15" hidden="false" customHeight="true" outlineLevel="0" collapsed="false">
      <c r="B42" s="7" t="s">
        <v>150</v>
      </c>
      <c r="C42" s="22" t="n">
        <f aca="false">G12*8</f>
        <v>45379200</v>
      </c>
    </row>
    <row r="43" customFormat="false" ht="15" hidden="false" customHeight="true" outlineLevel="0" collapsed="false">
      <c r="B43" s="7" t="s">
        <v>151</v>
      </c>
      <c r="C43" s="22" t="n">
        <f aca="false">G21*8</f>
        <v>72508800</v>
      </c>
    </row>
    <row r="44" customFormat="false" ht="15" hidden="false" customHeight="true" outlineLevel="0" collapsed="false">
      <c r="B44" s="7" t="s">
        <v>152</v>
      </c>
      <c r="C44" s="22" t="n">
        <f aca="false">G30*8</f>
        <v>138096000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2026-02-27T21:14:46Z</dcterms:created>
  <dc:creator>openpyxl</dc:creator>
  <dc:description/>
  <dc:language>en-US</dc:language>
  <cp:lastModifiedBy/>
  <dcterms:modified xsi:type="dcterms:W3CDTF">2026-02-27T21:15:50Z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